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" sheetId="13" r:id="rId13"/>
  </sheets>
  <externalReferences>
    <externalReference r:id="rId16"/>
  </externalReferences>
  <definedNames>
    <definedName name="_xlnm.Print_Area" localSheetId="12">'січень'!$A$1:$R$87</definedName>
    <definedName name="_xlnm.Print_Area" localSheetId="6">'червень'!$B$2:$J$85</definedName>
  </definedNames>
  <calcPr fullCalcOnLoad="1"/>
</workbook>
</file>

<file path=xl/sharedStrings.xml><?xml version="1.0" encoding="utf-8"?>
<sst xmlns="http://schemas.openxmlformats.org/spreadsheetml/2006/main" count="1700" uniqueCount="236">
  <si>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</si>
  <si>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</si>
  <si>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</si>
  <si>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</si>
  <si>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</si>
  <si>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</si>
  <si>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</si>
  <si>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</si>
  <si>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</si>
  <si>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</si>
  <si>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</si>
  <si>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</si>
  <si>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</si>
  <si>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</si>
  <si>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</si>
  <si>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</si>
  <si>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</si>
  <si>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</si>
  <si>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</si>
  <si>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</si>
  <si>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</si>
  <si>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</si>
  <si>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</si>
  <si>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</si>
  <si>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</si>
  <si>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</si>
  <si>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</si>
  <si>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</si>
  <si>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</si>
  <si>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</si>
  <si>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</si>
  <si>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</si>
  <si>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</si>
  <si>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</si>
  <si>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</si>
  <si>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</si>
  <si>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</si>
  <si>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</si>
  <si>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</si>
  <si>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</si>
  <si>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</si>
  <si>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</si>
  <si>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</si>
  <si>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</si>
  <si>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</si>
  <si>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</si>
  <si>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</si>
  <si>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</si>
  <si>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</si>
  <si>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</si>
  <si>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</si>
  <si>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</si>
  <si>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</si>
  <si>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</si>
  <si>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</si>
  <si>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</si>
  <si>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</si>
  <si>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</si>
  <si>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</si>
  <si>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</si>
  <si>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</si>
  <si>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</si>
  <si>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</si>
  <si>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</si>
  <si>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</si>
  <si>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</si>
  <si>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</si>
  <si>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</si>
  <si>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</si>
  <si>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</si>
  <si>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</si>
  <si>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</si>
  <si>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</si>
  <si>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</si>
  <si>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</si>
  <si>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</si>
  <si>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</si>
  <si>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</si>
  <si>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</si>
  <si>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</si>
  <si>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</si>
  <si>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</si>
  <si>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</si>
  <si>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</si>
  <si>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</si>
  <si>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</si>
  <si>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</si>
  <si>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</si>
  <si>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</si>
  <si>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</si>
  <si>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</si>
  <si>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</si>
  <si>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</si>
  <si>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</si>
  <si>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</si>
  <si>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</si>
  <si>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</si>
  <si>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</si>
  <si>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</si>
  <si>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</si>
  <si>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</si>
  <si>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</si>
  <si>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</si>
  <si>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</si>
  <si>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</si>
  <si>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</si>
  <si>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</si>
  <si>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</si>
  <si>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</si>
  <si>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</si>
  <si>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</si>
  <si>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</si>
  <si>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</si>
  <si>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</si>
  <si>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</si>
  <si>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</si>
  <si>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</si>
  <si>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</si>
  <si>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</si>
  <si>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</si>
  <si>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</si>
  <si>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</si>
  <si>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</si>
  <si>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</si>
  <si>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</si>
  <si>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</si>
  <si>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</si>
  <si>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</si>
  <si>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</si>
  <si>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</si>
  <si>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</si>
  <si>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</si>
  <si>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</si>
  <si>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</si>
  <si>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</si>
  <si>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</si>
  <si>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</si>
  <si>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</si>
  <si>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</si>
  <si>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</si>
  <si>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</si>
  <si>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</si>
  <si>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</si>
  <si>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</si>
  <si>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</si>
  <si>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</si>
  <si>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</si>
  <si>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</si>
  <si>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</si>
  <si>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</si>
  <si>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</si>
  <si>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</si>
  <si>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</si>
  <si>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</si>
  <si>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</si>
  <si>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</si>
  <si>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</si>
  <si>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</si>
  <si>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</si>
  <si>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</si>
  <si>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</si>
  <si>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</si>
  <si>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</si>
  <si>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</si>
  <si>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</si>
  <si>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</si>
  <si>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</si>
  <si>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</si>
  <si>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</si>
  <si>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</si>
  <si>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</si>
  <si>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</si>
  <si>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</si>
  <si>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</si>
  <si>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</si>
  <si>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</si>
  <si>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</si>
  <si>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</si>
  <si>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</si>
  <si>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</si>
  <si>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</si>
  <si>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</si>
  <si>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</si>
  <si>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</si>
  <si>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</si>
  <si>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</si>
  <si>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</si>
  <si>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</si>
  <si>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</si>
  <si>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</si>
  <si>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</si>
  <si>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</si>
  <si>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</si>
  <si>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</si>
  <si>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</si>
  <si>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</si>
  <si>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</si>
  <si>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</si>
  <si>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</si>
  <si>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</si>
  <si>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</si>
  <si>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</si>
  <si>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</si>
  <si>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</si>
  <si>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</si>
  <si>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</si>
  <si>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</si>
  <si>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</si>
  <si>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</si>
  <si>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</si>
  <si>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</si>
  <si>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</si>
  <si>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</si>
  <si>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</si>
  <si>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</si>
  <si>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</si>
  <si>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</si>
  <si>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</si>
  <si>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</si>
  <si>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</si>
  <si>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</si>
  <si>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</si>
  <si>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01.12.2016</t>
    </r>
    <r>
      <rPr>
        <b/>
        <sz val="16"/>
        <rFont val="Times New Roman"/>
        <family val="1"/>
      </rPr>
      <t>р.</t>
    </r>
  </si>
  <si>
    <t>Відхилення (+,-) до  плану на січень-грудень 2016 року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</si>
  <si>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</si>
  <si>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</si>
  <si>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</si>
  <si>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</si>
  <si>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</si>
  <si>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</si>
  <si>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</si>
  <si>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</si>
  <si>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</si>
  <si>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</si>
  <si>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26.12.2016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</si>
  <si>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23.12.16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</si>
</sst>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G6">
            <v>106232764.71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hidden="1" customWidth="1"/>
    <col min="6" max="6" width="13.875" style="124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2.1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39" t="s">
        <v>234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228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231</v>
      </c>
      <c r="O3" s="450" t="s">
        <v>227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229</v>
      </c>
      <c r="F4" s="433" t="s">
        <v>34</v>
      </c>
      <c r="G4" s="426" t="s">
        <v>230</v>
      </c>
      <c r="H4" s="435" t="s">
        <v>224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235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232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24" s="6" customFormat="1" ht="17.25">
      <c r="A8" s="7"/>
      <c r="B8" s="194" t="s">
        <v>9</v>
      </c>
      <c r="C8" s="75" t="s">
        <v>10</v>
      </c>
      <c r="D8" s="191">
        <f>D9+D15+D18+D19+D20+D37+D17</f>
        <v>975359.8500000001</v>
      </c>
      <c r="E8" s="191">
        <f>E9+E15+E18+E19+E20+E37+E17</f>
        <v>975359.8500000001</v>
      </c>
      <c r="F8" s="191">
        <f>F9+F15+F18+F19+F20+F37+F17</f>
        <v>944168.0900000001</v>
      </c>
      <c r="G8" s="191">
        <f aca="true" t="shared" si="0" ref="G8:G37">F8-E8</f>
        <v>-31191.76000000001</v>
      </c>
      <c r="H8" s="192">
        <f>F8/E8*100</f>
        <v>96.80202542682068</v>
      </c>
      <c r="I8" s="193">
        <f>F8-D8</f>
        <v>-31191.76000000001</v>
      </c>
      <c r="J8" s="193">
        <f>F8/D8*100</f>
        <v>96.80202542682068</v>
      </c>
      <c r="K8" s="191">
        <v>672693.01</v>
      </c>
      <c r="L8" s="191">
        <f aca="true" t="shared" si="1" ref="L8:L51">F8-K8</f>
        <v>271475.0800000001</v>
      </c>
      <c r="M8" s="250">
        <f aca="true" t="shared" si="2" ref="M8:M28">F8/K8</f>
        <v>1.4035645918187853</v>
      </c>
      <c r="N8" s="191">
        <f>N9+N15+N18+N19+N20+N17</f>
        <v>90938.00000000003</v>
      </c>
      <c r="O8" s="191">
        <f>O9+O15+O18+O19+O20+O17</f>
        <v>53569.620000000075</v>
      </c>
      <c r="P8" s="191">
        <f>O8-N8</f>
        <v>-37368.379999999954</v>
      </c>
      <c r="Q8" s="191">
        <f>O8/N8*100</f>
        <v>58.907849303921424</v>
      </c>
      <c r="R8" s="15" t="e">
        <f>#N/A</f>
        <v>#N/A</v>
      </c>
      <c r="S8" s="15" t="e">
        <f>#N/A</f>
        <v>#N/A</v>
      </c>
      <c r="X8" s="186"/>
    </row>
    <row r="9" spans="1:20" s="6" customFormat="1" ht="18">
      <c r="A9" s="8"/>
      <c r="B9" s="13" t="s">
        <v>82</v>
      </c>
      <c r="C9" s="48">
        <v>11010000</v>
      </c>
      <c r="D9" s="190">
        <f>530589+7005.4</f>
        <v>537594.4</v>
      </c>
      <c r="E9" s="190">
        <f>D9</f>
        <v>537594.4</v>
      </c>
      <c r="F9" s="196">
        <v>518408.15</v>
      </c>
      <c r="G9" s="190">
        <f t="shared" si="0"/>
        <v>-19186.25</v>
      </c>
      <c r="H9" s="197">
        <f>F9/E9*100</f>
        <v>96.43109191613604</v>
      </c>
      <c r="I9" s="198">
        <f>F9-D9</f>
        <v>-19186.25</v>
      </c>
      <c r="J9" s="198">
        <f>F9/D9*100</f>
        <v>96.43109191613604</v>
      </c>
      <c r="K9" s="412">
        <v>372804.54</v>
      </c>
      <c r="L9" s="199">
        <f t="shared" si="1"/>
        <v>145603.61000000004</v>
      </c>
      <c r="M9" s="251">
        <f t="shared" si="2"/>
        <v>1.3905628670723809</v>
      </c>
      <c r="N9" s="197">
        <f>E9-листопад!E9</f>
        <v>55873.73000000004</v>
      </c>
      <c r="O9" s="200">
        <f>F9-листопад!F9</f>
        <v>38365.40000000002</v>
      </c>
      <c r="P9" s="201">
        <f>O9-N9</f>
        <v>-17508.330000000016</v>
      </c>
      <c r="Q9" s="198">
        <f>O9/N9*100</f>
        <v>68.66446897316501</v>
      </c>
      <c r="R9" s="106"/>
      <c r="S9" s="107"/>
      <c r="T9" s="186">
        <f>D9-E9</f>
        <v>0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 aca="true" t="shared" si="3" ref="E10:E19">D10</f>
        <v>485209</v>
      </c>
      <c r="F10" s="171">
        <v>456870.32</v>
      </c>
      <c r="G10" s="109">
        <f t="shared" si="0"/>
        <v>-28338.679999999993</v>
      </c>
      <c r="H10" s="32">
        <f aca="true" t="shared" si="4" ref="H10:H36">F10/E10*100</f>
        <v>94.15949003419145</v>
      </c>
      <c r="I10" s="110">
        <f aca="true" t="shared" si="5" ref="I10:I37">F10-D10</f>
        <v>-28338.679999999993</v>
      </c>
      <c r="J10" s="110">
        <f aca="true" t="shared" si="6" ref="J10:J36">F10/D10*100</f>
        <v>94.15949003419145</v>
      </c>
      <c r="K10" s="112">
        <v>329938.9</v>
      </c>
      <c r="L10" s="112">
        <f t="shared" si="1"/>
        <v>126931.41999999998</v>
      </c>
      <c r="M10" s="252">
        <f t="shared" si="2"/>
        <v>1.3847118966572294</v>
      </c>
      <c r="N10" s="111">
        <f>E10-листопад!E10</f>
        <v>47758.76000000001</v>
      </c>
      <c r="O10" s="179">
        <f>F10-листопад!F10</f>
        <v>34735.52000000002</v>
      </c>
      <c r="P10" s="112">
        <f aca="true" t="shared" si="7" ref="P10:P37">O10-N10</f>
        <v>-13023.23999999999</v>
      </c>
      <c r="Q10" s="198">
        <f aca="true" t="shared" si="8" ref="Q10:Q16">O10/N10*100</f>
        <v>72.73120156385973</v>
      </c>
      <c r="R10" s="42"/>
      <c r="S10" s="100"/>
      <c r="T10" s="186">
        <f aca="true" t="shared" si="9" ref="T10:T73">D10-E10</f>
        <v>0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f>23000+7005.4</f>
        <v>30005.4</v>
      </c>
      <c r="E11" s="109">
        <f t="shared" si="3"/>
        <v>30005.4</v>
      </c>
      <c r="F11" s="171">
        <v>38816.35</v>
      </c>
      <c r="G11" s="109">
        <f t="shared" si="0"/>
        <v>8810.949999999997</v>
      </c>
      <c r="H11" s="32">
        <f t="shared" si="4"/>
        <v>129.36454771474467</v>
      </c>
      <c r="I11" s="110">
        <f t="shared" si="5"/>
        <v>8810.949999999997</v>
      </c>
      <c r="J11" s="110">
        <f t="shared" si="6"/>
        <v>129.36454771474467</v>
      </c>
      <c r="K11" s="112">
        <v>20742.02</v>
      </c>
      <c r="L11" s="112">
        <f t="shared" si="1"/>
        <v>18074.329999999998</v>
      </c>
      <c r="M11" s="252">
        <f t="shared" si="2"/>
        <v>1.8713871647987996</v>
      </c>
      <c r="N11" s="111">
        <f>E11-листопад!E11</f>
        <v>7090.460000000003</v>
      </c>
      <c r="O11" s="179">
        <f>F11-листопад!F11</f>
        <v>2094.6299999999974</v>
      </c>
      <c r="P11" s="112">
        <f t="shared" si="7"/>
        <v>-4995.830000000005</v>
      </c>
      <c r="Q11" s="198">
        <f t="shared" si="8"/>
        <v>29.541524809391728</v>
      </c>
      <c r="R11" s="42"/>
      <c r="S11" s="100"/>
      <c r="T11" s="186">
        <f t="shared" si="9"/>
        <v>0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f t="shared" si="3"/>
        <v>6500</v>
      </c>
      <c r="F12" s="171">
        <v>10272.25</v>
      </c>
      <c r="G12" s="109">
        <f t="shared" si="0"/>
        <v>3772.25</v>
      </c>
      <c r="H12" s="32">
        <f t="shared" si="4"/>
        <v>158.0346153846154</v>
      </c>
      <c r="I12" s="110">
        <f t="shared" si="5"/>
        <v>3772.25</v>
      </c>
      <c r="J12" s="110">
        <f t="shared" si="6"/>
        <v>158.0346153846154</v>
      </c>
      <c r="K12" s="112">
        <v>5604.18</v>
      </c>
      <c r="L12" s="112">
        <f t="shared" si="1"/>
        <v>4668.07</v>
      </c>
      <c r="M12" s="252">
        <f t="shared" si="2"/>
        <v>1.8329621818000135</v>
      </c>
      <c r="N12" s="111">
        <f>E12-листопад!E12</f>
        <v>39.39000000000033</v>
      </c>
      <c r="O12" s="179">
        <f>F12-листопад!F12</f>
        <v>954.3199999999997</v>
      </c>
      <c r="P12" s="112">
        <f t="shared" si="7"/>
        <v>914.9299999999994</v>
      </c>
      <c r="Q12" s="198">
        <f t="shared" si="8"/>
        <v>2422.7468900736017</v>
      </c>
      <c r="R12" s="42"/>
      <c r="S12" s="100"/>
      <c r="T12" s="186">
        <f t="shared" si="9"/>
        <v>0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f t="shared" si="3"/>
        <v>12400</v>
      </c>
      <c r="F13" s="171">
        <v>9328.5</v>
      </c>
      <c r="G13" s="109">
        <f t="shared" si="0"/>
        <v>-3071.5</v>
      </c>
      <c r="H13" s="32">
        <f t="shared" si="4"/>
        <v>75.22983870967742</v>
      </c>
      <c r="I13" s="110">
        <f t="shared" si="5"/>
        <v>-3071.5</v>
      </c>
      <c r="J13" s="110">
        <f t="shared" si="6"/>
        <v>75.22983870967742</v>
      </c>
      <c r="K13" s="112">
        <v>7282.62</v>
      </c>
      <c r="L13" s="112">
        <f t="shared" si="1"/>
        <v>2045.88</v>
      </c>
      <c r="M13" s="252">
        <f t="shared" si="2"/>
        <v>1.2809263699053364</v>
      </c>
      <c r="N13" s="111">
        <f>E13-листопад!E13</f>
        <v>985.1599999999999</v>
      </c>
      <c r="O13" s="179">
        <f>F13-листопад!F13</f>
        <v>428.3700000000008</v>
      </c>
      <c r="P13" s="112">
        <f t="shared" si="7"/>
        <v>-556.789999999999</v>
      </c>
      <c r="Q13" s="198">
        <f t="shared" si="8"/>
        <v>43.482276990539695</v>
      </c>
      <c r="R13" s="42"/>
      <c r="S13" s="100"/>
      <c r="T13" s="186">
        <f t="shared" si="9"/>
        <v>0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f t="shared" si="3"/>
        <v>3480</v>
      </c>
      <c r="F14" s="171">
        <v>3120.73</v>
      </c>
      <c r="G14" s="109">
        <f t="shared" si="0"/>
        <v>-359.27</v>
      </c>
      <c r="H14" s="32">
        <f t="shared" si="4"/>
        <v>89.67614942528735</v>
      </c>
      <c r="I14" s="110">
        <f t="shared" si="5"/>
        <v>-359.27</v>
      </c>
      <c r="J14" s="110">
        <f t="shared" si="6"/>
        <v>89.67614942528735</v>
      </c>
      <c r="K14" s="112">
        <v>9236.82</v>
      </c>
      <c r="L14" s="112">
        <f t="shared" si="1"/>
        <v>-6116.09</v>
      </c>
      <c r="M14" s="252">
        <f t="shared" si="2"/>
        <v>0.337857617664954</v>
      </c>
      <c r="N14" s="111">
        <f>E14-листопад!E14</f>
        <v>-0.03999999999996362</v>
      </c>
      <c r="O14" s="179">
        <f>F14-листопад!F14</f>
        <v>152.57000000000016</v>
      </c>
      <c r="P14" s="112">
        <f t="shared" si="7"/>
        <v>152.61000000000013</v>
      </c>
      <c r="Q14" s="198">
        <f t="shared" si="8"/>
        <v>-381425.0000003473</v>
      </c>
      <c r="R14" s="42"/>
      <c r="S14" s="100"/>
      <c r="T14" s="186">
        <f t="shared" si="9"/>
        <v>0</v>
      </c>
      <c r="U14" s="273">
        <v>2880</v>
      </c>
      <c r="V14" s="186"/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f t="shared" si="3"/>
        <v>500</v>
      </c>
      <c r="F15" s="196">
        <v>409.29</v>
      </c>
      <c r="G15" s="190">
        <f t="shared" si="0"/>
        <v>-90.70999999999998</v>
      </c>
      <c r="H15" s="197">
        <f>F15/E15*100</f>
        <v>81.858</v>
      </c>
      <c r="I15" s="198">
        <f t="shared" si="5"/>
        <v>-90.70999999999998</v>
      </c>
      <c r="J15" s="198">
        <f t="shared" si="6"/>
        <v>81.858</v>
      </c>
      <c r="K15" s="201">
        <v>-522.93</v>
      </c>
      <c r="L15" s="201">
        <f t="shared" si="1"/>
        <v>932.22</v>
      </c>
      <c r="M15" s="253">
        <f t="shared" si="2"/>
        <v>-0.7826860191612646</v>
      </c>
      <c r="N15" s="197">
        <f>E15-листопад!E15</f>
        <v>5</v>
      </c>
      <c r="O15" s="200">
        <f>F15-листопад!F15</f>
        <v>1.1800000000000068</v>
      </c>
      <c r="P15" s="201">
        <f t="shared" si="7"/>
        <v>-3.819999999999993</v>
      </c>
      <c r="Q15" s="198">
        <f t="shared" si="8"/>
        <v>23.600000000000136</v>
      </c>
      <c r="R15" s="42"/>
      <c r="S15" s="100"/>
      <c r="T15" s="186">
        <f t="shared" si="9"/>
        <v>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90">
        <f t="shared" si="3"/>
        <v>0</v>
      </c>
      <c r="F16" s="171">
        <v>0</v>
      </c>
      <c r="G16" s="36">
        <f t="shared" si="0"/>
        <v>0</v>
      </c>
      <c r="H16" s="32" t="e">
        <f t="shared" si="4"/>
        <v>#DIV/0!</v>
      </c>
      <c r="I16" s="42">
        <f t="shared" si="5"/>
        <v>0</v>
      </c>
      <c r="J16" s="42" t="e">
        <f t="shared" si="6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E16-листопад!E16</f>
        <v>0</v>
      </c>
      <c r="O16" s="200">
        <f>F16-листопад!F16</f>
        <v>0</v>
      </c>
      <c r="P16" s="40">
        <f t="shared" si="7"/>
        <v>0</v>
      </c>
      <c r="Q16" s="198" t="e">
        <f t="shared" si="8"/>
        <v>#DIV/0!</v>
      </c>
      <c r="R16" s="110">
        <f>O16-358.81</f>
        <v>-358.81</v>
      </c>
      <c r="S16" s="115">
        <f>O16/358.79</f>
        <v>0</v>
      </c>
      <c r="T16" s="186">
        <f t="shared" si="9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190">
        <f t="shared" si="3"/>
        <v>0</v>
      </c>
      <c r="F17" s="203">
        <v>0.17</v>
      </c>
      <c r="G17" s="202">
        <f t="shared" si="0"/>
        <v>0.17</v>
      </c>
      <c r="H17" s="204"/>
      <c r="I17" s="205">
        <f t="shared" si="5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E17-листопад!E17</f>
        <v>0</v>
      </c>
      <c r="O17" s="200">
        <f>F17-листопад!F17</f>
        <v>0</v>
      </c>
      <c r="P17" s="207">
        <f t="shared" si="7"/>
        <v>0</v>
      </c>
      <c r="Q17" s="198"/>
      <c r="R17" s="110"/>
      <c r="S17" s="115"/>
      <c r="T17" s="186">
        <f t="shared" si="9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f t="shared" si="3"/>
        <v>105.8</v>
      </c>
      <c r="F18" s="196">
        <v>124.7</v>
      </c>
      <c r="G18" s="190">
        <f t="shared" si="0"/>
        <v>18.900000000000006</v>
      </c>
      <c r="H18" s="197">
        <f t="shared" si="4"/>
        <v>117.86389413988658</v>
      </c>
      <c r="I18" s="198">
        <f t="shared" si="5"/>
        <v>18.900000000000006</v>
      </c>
      <c r="J18" s="198">
        <f t="shared" si="6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E18-листопад!E18</f>
        <v>0</v>
      </c>
      <c r="O18" s="200">
        <f>F18-листопад!F18</f>
        <v>0</v>
      </c>
      <c r="P18" s="201">
        <f t="shared" si="7"/>
        <v>0</v>
      </c>
      <c r="Q18" s="198"/>
      <c r="R18" s="42"/>
      <c r="S18" s="100"/>
      <c r="T18" s="186">
        <f t="shared" si="9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f>109900-8900</f>
        <v>101000</v>
      </c>
      <c r="E19" s="190">
        <f t="shared" si="3"/>
        <v>101000</v>
      </c>
      <c r="F19" s="196">
        <v>95627.15</v>
      </c>
      <c r="G19" s="190">
        <f t="shared" si="0"/>
        <v>-5372.850000000006</v>
      </c>
      <c r="H19" s="197">
        <f t="shared" si="4"/>
        <v>94.68034653465345</v>
      </c>
      <c r="I19" s="198">
        <f t="shared" si="5"/>
        <v>-5372.850000000006</v>
      </c>
      <c r="J19" s="198">
        <f t="shared" si="6"/>
        <v>94.68034653465345</v>
      </c>
      <c r="K19" s="209">
        <v>70426.38</v>
      </c>
      <c r="L19" s="201">
        <f t="shared" si="1"/>
        <v>25200.76999999999</v>
      </c>
      <c r="M19" s="259">
        <f t="shared" si="2"/>
        <v>1.3578313978370036</v>
      </c>
      <c r="N19" s="197">
        <f>E19-листопад!E19</f>
        <v>-400.3999999999942</v>
      </c>
      <c r="O19" s="200">
        <f>F19-листопад!F19</f>
        <v>2835.3600000000006</v>
      </c>
      <c r="P19" s="201">
        <f t="shared" si="7"/>
        <v>3235.7599999999948</v>
      </c>
      <c r="Q19" s="198">
        <f aca="true" t="shared" si="10" ref="Q19:Q24">O19/N19*100</f>
        <v>-708.1318681318786</v>
      </c>
      <c r="R19" s="113"/>
      <c r="S19" s="114"/>
      <c r="T19" s="186">
        <f t="shared" si="9"/>
        <v>0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336159.65</v>
      </c>
      <c r="E20" s="190">
        <f>E21+E30+E32+E29</f>
        <v>336159.65</v>
      </c>
      <c r="F20" s="272">
        <f>F21+F29+F30+F31+F32</f>
        <v>329598.63</v>
      </c>
      <c r="G20" s="190">
        <f t="shared" si="0"/>
        <v>-6561.020000000019</v>
      </c>
      <c r="H20" s="197">
        <f t="shared" si="4"/>
        <v>98.04824285127617</v>
      </c>
      <c r="I20" s="198">
        <f t="shared" si="5"/>
        <v>-6561.020000000019</v>
      </c>
      <c r="J20" s="198">
        <f t="shared" si="6"/>
        <v>98.04824285127617</v>
      </c>
      <c r="K20" s="198">
        <v>223108.59</v>
      </c>
      <c r="L20" s="201">
        <f t="shared" si="1"/>
        <v>106490.04000000001</v>
      </c>
      <c r="M20" s="254">
        <f t="shared" si="2"/>
        <v>1.4773013894265568</v>
      </c>
      <c r="N20" s="197">
        <f>N21+N30+N31+N32</f>
        <v>35459.669999999984</v>
      </c>
      <c r="O20" s="200">
        <f>F20-листопад!F20</f>
        <v>12367.680000000051</v>
      </c>
      <c r="P20" s="201">
        <f t="shared" si="7"/>
        <v>-23091.989999999932</v>
      </c>
      <c r="Q20" s="198">
        <f t="shared" si="10"/>
        <v>34.878158764591035</v>
      </c>
      <c r="R20" s="113"/>
      <c r="S20" s="114"/>
      <c r="T20" s="186">
        <f t="shared" si="9"/>
        <v>0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180544.65</v>
      </c>
      <c r="E21" s="190">
        <f>E22+E25+E26</f>
        <v>180544.65</v>
      </c>
      <c r="F21" s="211">
        <f>F22+F25+F26</f>
        <v>173461.72999999998</v>
      </c>
      <c r="G21" s="190">
        <f t="shared" si="0"/>
        <v>-7082.920000000013</v>
      </c>
      <c r="H21" s="197">
        <f t="shared" si="4"/>
        <v>96.07691504566876</v>
      </c>
      <c r="I21" s="198">
        <f t="shared" si="5"/>
        <v>-7082.920000000013</v>
      </c>
      <c r="J21" s="198">
        <f t="shared" si="6"/>
        <v>96.07691504566876</v>
      </c>
      <c r="K21" s="198">
        <v>119601.42</v>
      </c>
      <c r="L21" s="201">
        <f t="shared" si="1"/>
        <v>53860.30999999998</v>
      </c>
      <c r="M21" s="254">
        <f t="shared" si="2"/>
        <v>1.450331693386249</v>
      </c>
      <c r="N21" s="197">
        <f>N22+N25+N26</f>
        <v>17581.22999999998</v>
      </c>
      <c r="O21" s="200">
        <f>F21-листопад!F21</f>
        <v>6201.629999999976</v>
      </c>
      <c r="P21" s="201">
        <f t="shared" si="7"/>
        <v>-11379.600000000006</v>
      </c>
      <c r="Q21" s="198">
        <f t="shared" si="10"/>
        <v>35.274153173583315</v>
      </c>
      <c r="R21" s="113"/>
      <c r="S21" s="114"/>
      <c r="T21" s="186">
        <f t="shared" si="9"/>
        <v>0</v>
      </c>
    </row>
    <row r="22" spans="1:21" s="6" customFormat="1" ht="18">
      <c r="A22" s="8"/>
      <c r="B22" s="55" t="s">
        <v>77</v>
      </c>
      <c r="C22" s="138"/>
      <c r="D22" s="212">
        <f>18500+2500</f>
        <v>21000</v>
      </c>
      <c r="E22" s="212">
        <f aca="true" t="shared" si="11" ref="E22:E30">D22</f>
        <v>21000</v>
      </c>
      <c r="F22" s="213">
        <v>20948.31</v>
      </c>
      <c r="G22" s="212">
        <f t="shared" si="0"/>
        <v>-51.68999999999869</v>
      </c>
      <c r="H22" s="214">
        <f t="shared" si="4"/>
        <v>99.75385714285714</v>
      </c>
      <c r="I22" s="215">
        <f t="shared" si="5"/>
        <v>-51.68999999999869</v>
      </c>
      <c r="J22" s="215">
        <f t="shared" si="6"/>
        <v>99.75385714285714</v>
      </c>
      <c r="K22" s="216">
        <v>13340.12</v>
      </c>
      <c r="L22" s="206">
        <f t="shared" si="1"/>
        <v>7608.1900000000005</v>
      </c>
      <c r="M22" s="262">
        <f t="shared" si="2"/>
        <v>1.5703239551068506</v>
      </c>
      <c r="N22" s="214">
        <f>E22-листопад!E22</f>
        <v>3275.5999999999985</v>
      </c>
      <c r="O22" s="217">
        <f>F22-листопад!F22</f>
        <v>212.15000000000146</v>
      </c>
      <c r="P22" s="218">
        <f t="shared" si="7"/>
        <v>-3063.449999999997</v>
      </c>
      <c r="Q22" s="215">
        <f t="shared" si="10"/>
        <v>6.476676028819195</v>
      </c>
      <c r="R22" s="113"/>
      <c r="S22" s="114"/>
      <c r="T22" s="186">
        <f t="shared" si="9"/>
        <v>0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f t="shared" si="11"/>
        <v>2000</v>
      </c>
      <c r="F23" s="203">
        <v>825.72</v>
      </c>
      <c r="G23" s="241">
        <f t="shared" si="0"/>
        <v>-1174.28</v>
      </c>
      <c r="H23" s="242">
        <f t="shared" si="4"/>
        <v>41.286</v>
      </c>
      <c r="I23" s="243">
        <f t="shared" si="5"/>
        <v>-1174.28</v>
      </c>
      <c r="J23" s="243">
        <f t="shared" si="6"/>
        <v>41.286</v>
      </c>
      <c r="K23" s="243">
        <v>716.11</v>
      </c>
      <c r="L23" s="243">
        <f t="shared" si="1"/>
        <v>109.61000000000001</v>
      </c>
      <c r="M23" s="413">
        <f t="shared" si="2"/>
        <v>1.1530630769015933</v>
      </c>
      <c r="N23" s="242">
        <f>E23-листопад!E23</f>
        <v>575.5999999999999</v>
      </c>
      <c r="O23" s="242">
        <f>F23-листопад!F23</f>
        <v>8.870000000000005</v>
      </c>
      <c r="P23" s="243">
        <f t="shared" si="7"/>
        <v>-566.7299999999999</v>
      </c>
      <c r="Q23" s="243">
        <f t="shared" si="10"/>
        <v>1.5410006949270336</v>
      </c>
      <c r="R23" s="113"/>
      <c r="S23" s="114"/>
      <c r="T23" s="186">
        <f t="shared" si="9"/>
        <v>0</v>
      </c>
      <c r="U23" s="186"/>
    </row>
    <row r="24" spans="1:21" s="6" customFormat="1" ht="18" hidden="1">
      <c r="A24" s="8"/>
      <c r="B24" s="237" t="s">
        <v>165</v>
      </c>
      <c r="C24" s="238"/>
      <c r="D24" s="241">
        <f>16500+2500</f>
        <v>19000</v>
      </c>
      <c r="E24" s="241">
        <f t="shared" si="11"/>
        <v>19000</v>
      </c>
      <c r="F24" s="203">
        <v>20122.59</v>
      </c>
      <c r="G24" s="241">
        <f t="shared" si="0"/>
        <v>1122.5900000000001</v>
      </c>
      <c r="H24" s="242">
        <f t="shared" si="4"/>
        <v>105.90836842105263</v>
      </c>
      <c r="I24" s="243">
        <f t="shared" si="5"/>
        <v>1122.5900000000001</v>
      </c>
      <c r="J24" s="243">
        <f t="shared" si="6"/>
        <v>105.90836842105263</v>
      </c>
      <c r="K24" s="243">
        <v>12624.02</v>
      </c>
      <c r="L24" s="243">
        <f t="shared" si="1"/>
        <v>7498.57</v>
      </c>
      <c r="M24" s="413">
        <f t="shared" si="2"/>
        <v>1.593992246526859</v>
      </c>
      <c r="N24" s="242">
        <f>E24-листопад!E24</f>
        <v>2700</v>
      </c>
      <c r="O24" s="242">
        <f>F24-листопад!F24</f>
        <v>203.27999999999884</v>
      </c>
      <c r="P24" s="243">
        <f t="shared" si="7"/>
        <v>-2496.720000000001</v>
      </c>
      <c r="Q24" s="243">
        <f t="shared" si="10"/>
        <v>7.528888888888846</v>
      </c>
      <c r="R24" s="113"/>
      <c r="S24" s="114"/>
      <c r="T24" s="186">
        <f t="shared" si="9"/>
        <v>0</v>
      </c>
      <c r="U24" s="186"/>
    </row>
    <row r="25" spans="1:20" s="6" customFormat="1" ht="18">
      <c r="A25" s="8"/>
      <c r="B25" s="55" t="s">
        <v>78</v>
      </c>
      <c r="C25" s="138"/>
      <c r="D25" s="212">
        <f>1000-155</f>
        <v>845</v>
      </c>
      <c r="E25" s="212">
        <f t="shared" si="11"/>
        <v>845</v>
      </c>
      <c r="F25" s="213">
        <v>786.84</v>
      </c>
      <c r="G25" s="212">
        <f t="shared" si="0"/>
        <v>-58.15999999999997</v>
      </c>
      <c r="H25" s="214">
        <f t="shared" si="4"/>
        <v>93.11715976331362</v>
      </c>
      <c r="I25" s="215">
        <f t="shared" si="5"/>
        <v>-58.15999999999997</v>
      </c>
      <c r="J25" s="215">
        <f t="shared" si="6"/>
        <v>93.11715976331362</v>
      </c>
      <c r="K25" s="215">
        <v>3879.26</v>
      </c>
      <c r="L25" s="215">
        <f t="shared" si="1"/>
        <v>-3092.42</v>
      </c>
      <c r="M25" s="257">
        <f t="shared" si="2"/>
        <v>0.20283249898176456</v>
      </c>
      <c r="N25" s="214">
        <f>E25-листопад!E25</f>
        <v>-135.03999999999996</v>
      </c>
      <c r="O25" s="217">
        <f>F25-листопад!F25</f>
        <v>-0.5299999999999727</v>
      </c>
      <c r="P25" s="218">
        <f t="shared" si="7"/>
        <v>134.51</v>
      </c>
      <c r="Q25" s="215"/>
      <c r="R25" s="113"/>
      <c r="S25" s="114"/>
      <c r="T25" s="186">
        <f t="shared" si="9"/>
        <v>0</v>
      </c>
    </row>
    <row r="26" spans="1:20" s="6" customFormat="1" ht="18">
      <c r="A26" s="8"/>
      <c r="B26" s="55" t="s">
        <v>79</v>
      </c>
      <c r="C26" s="138"/>
      <c r="D26" s="212">
        <v>158699.65</v>
      </c>
      <c r="E26" s="212">
        <f t="shared" si="11"/>
        <v>158699.65</v>
      </c>
      <c r="F26" s="213">
        <v>151726.58</v>
      </c>
      <c r="G26" s="212">
        <f t="shared" si="0"/>
        <v>-6973.070000000007</v>
      </c>
      <c r="H26" s="214">
        <f t="shared" si="4"/>
        <v>95.6061213745588</v>
      </c>
      <c r="I26" s="215">
        <f t="shared" si="5"/>
        <v>-6973.070000000007</v>
      </c>
      <c r="J26" s="215">
        <f t="shared" si="6"/>
        <v>95.6061213745588</v>
      </c>
      <c r="K26" s="216">
        <v>102382.03</v>
      </c>
      <c r="L26" s="216">
        <f t="shared" si="1"/>
        <v>49344.54999999999</v>
      </c>
      <c r="M26" s="256">
        <f t="shared" si="2"/>
        <v>1.4819649502944998</v>
      </c>
      <c r="N26" s="214">
        <f>E26-листопад!E26</f>
        <v>14440.669999999984</v>
      </c>
      <c r="O26" s="217">
        <f>F26-листопад!F26</f>
        <v>5990.00999999998</v>
      </c>
      <c r="P26" s="218">
        <f t="shared" si="7"/>
        <v>-8450.660000000003</v>
      </c>
      <c r="Q26" s="215">
        <f>O26/N26*100</f>
        <v>41.48013907941935</v>
      </c>
      <c r="R26" s="113"/>
      <c r="S26" s="114"/>
      <c r="T26" s="186">
        <f t="shared" si="9"/>
        <v>0</v>
      </c>
    </row>
    <row r="27" spans="1:20" s="6" customFormat="1" ht="18" hidden="1">
      <c r="A27" s="8"/>
      <c r="B27" s="237" t="s">
        <v>166</v>
      </c>
      <c r="C27" s="238"/>
      <c r="D27" s="241">
        <f>47367+1218+1182</f>
        <v>49767</v>
      </c>
      <c r="E27" s="241">
        <f t="shared" si="11"/>
        <v>49767</v>
      </c>
      <c r="F27" s="203">
        <v>47132.19</v>
      </c>
      <c r="G27" s="241">
        <f t="shared" si="0"/>
        <v>-2634.8099999999977</v>
      </c>
      <c r="H27" s="242">
        <f t="shared" si="4"/>
        <v>94.70570860208572</v>
      </c>
      <c r="I27" s="243">
        <f t="shared" si="5"/>
        <v>-2634.8099999999977</v>
      </c>
      <c r="J27" s="243">
        <f t="shared" si="6"/>
        <v>94.70570860208572</v>
      </c>
      <c r="K27" s="243">
        <v>27811.39</v>
      </c>
      <c r="L27" s="243">
        <f t="shared" si="1"/>
        <v>19320.800000000003</v>
      </c>
      <c r="M27" s="413">
        <f t="shared" si="2"/>
        <v>1.6947081753195365</v>
      </c>
      <c r="N27" s="242">
        <f>E27-листопад!E27</f>
        <v>5355.199999999997</v>
      </c>
      <c r="O27" s="242">
        <f>F27-листопад!F27</f>
        <v>1129.5699999999997</v>
      </c>
      <c r="P27" s="243">
        <f t="shared" si="7"/>
        <v>-4225.629999999997</v>
      </c>
      <c r="Q27" s="243">
        <f>O27/N27*100</f>
        <v>21.092956378846733</v>
      </c>
      <c r="R27" s="113"/>
      <c r="S27" s="114"/>
      <c r="T27" s="186">
        <f t="shared" si="9"/>
        <v>0</v>
      </c>
    </row>
    <row r="28" spans="1:20" s="6" customFormat="1" ht="18" hidden="1">
      <c r="A28" s="8"/>
      <c r="B28" s="237" t="s">
        <v>167</v>
      </c>
      <c r="C28" s="238"/>
      <c r="D28" s="241">
        <f>108032.65+200+700</f>
        <v>108932.65</v>
      </c>
      <c r="E28" s="241">
        <f t="shared" si="11"/>
        <v>108932.65</v>
      </c>
      <c r="F28" s="203">
        <v>104594.39</v>
      </c>
      <c r="G28" s="241">
        <f t="shared" si="0"/>
        <v>-4338.259999999995</v>
      </c>
      <c r="H28" s="242">
        <f t="shared" si="4"/>
        <v>96.01748419780479</v>
      </c>
      <c r="I28" s="243">
        <f t="shared" si="5"/>
        <v>-4338.259999999995</v>
      </c>
      <c r="J28" s="243">
        <f t="shared" si="6"/>
        <v>96.01748419780479</v>
      </c>
      <c r="K28" s="243">
        <v>74570.64</v>
      </c>
      <c r="L28" s="243">
        <f t="shared" si="1"/>
        <v>30023.75</v>
      </c>
      <c r="M28" s="413">
        <f t="shared" si="2"/>
        <v>1.4026215947724199</v>
      </c>
      <c r="N28" s="242">
        <f>E28-листопад!E28</f>
        <v>9085.479999999996</v>
      </c>
      <c r="O28" s="242">
        <f>F28-листопад!F28</f>
        <v>4860.440000000002</v>
      </c>
      <c r="P28" s="243">
        <f t="shared" si="7"/>
        <v>-4225.039999999994</v>
      </c>
      <c r="Q28" s="243">
        <f>O28/N28*100</f>
        <v>53.49678828196204</v>
      </c>
      <c r="R28" s="113"/>
      <c r="S28" s="114"/>
      <c r="T28" s="186">
        <f t="shared" si="9"/>
        <v>0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f t="shared" si="11"/>
        <v>0</v>
      </c>
      <c r="F29" s="242">
        <v>0.15</v>
      </c>
      <c r="G29" s="190">
        <f t="shared" si="0"/>
        <v>0.15</v>
      </c>
      <c r="H29" s="197"/>
      <c r="I29" s="198">
        <f t="shared" si="5"/>
        <v>0.15</v>
      </c>
      <c r="J29" s="198"/>
      <c r="K29" s="207">
        <v>0</v>
      </c>
      <c r="L29" s="198">
        <f t="shared" si="1"/>
        <v>0.15</v>
      </c>
      <c r="M29" s="255"/>
      <c r="N29" s="197">
        <f>E29-листопад!E29</f>
        <v>0</v>
      </c>
      <c r="O29" s="200">
        <f>F29-листопад!F29</f>
        <v>0</v>
      </c>
      <c r="P29" s="201">
        <f t="shared" si="7"/>
        <v>0</v>
      </c>
      <c r="Q29" s="198"/>
      <c r="R29" s="113"/>
      <c r="S29" s="114"/>
      <c r="T29" s="186">
        <f t="shared" si="9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f>77+38</f>
        <v>115</v>
      </c>
      <c r="E30" s="190">
        <f t="shared" si="11"/>
        <v>115</v>
      </c>
      <c r="F30" s="196">
        <v>116.18</v>
      </c>
      <c r="G30" s="190">
        <f t="shared" si="0"/>
        <v>1.1800000000000068</v>
      </c>
      <c r="H30" s="197">
        <f t="shared" si="4"/>
        <v>101.02608695652175</v>
      </c>
      <c r="I30" s="198">
        <f t="shared" si="5"/>
        <v>1.1800000000000068</v>
      </c>
      <c r="J30" s="198">
        <f t="shared" si="6"/>
        <v>101.02608695652175</v>
      </c>
      <c r="K30" s="198">
        <v>76.57</v>
      </c>
      <c r="L30" s="198">
        <f t="shared" si="1"/>
        <v>39.610000000000014</v>
      </c>
      <c r="M30" s="255">
        <f>F30/K30</f>
        <v>1.5173044273214056</v>
      </c>
      <c r="N30" s="197">
        <f>E30-листопад!E30</f>
        <v>44.19</v>
      </c>
      <c r="O30" s="200">
        <f>F30-листопад!F30</f>
        <v>1.5</v>
      </c>
      <c r="P30" s="201">
        <f t="shared" si="7"/>
        <v>-42.69</v>
      </c>
      <c r="Q30" s="198">
        <f>O30/N30*100</f>
        <v>3.3944331296673456</v>
      </c>
      <c r="R30" s="113"/>
      <c r="S30" s="114"/>
      <c r="T30" s="186">
        <f t="shared" si="9"/>
        <v>0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-178.46</v>
      </c>
      <c r="G31" s="190">
        <f t="shared" si="0"/>
        <v>-178.46</v>
      </c>
      <c r="H31" s="197"/>
      <c r="I31" s="198">
        <f t="shared" si="5"/>
        <v>-178.46</v>
      </c>
      <c r="J31" s="198"/>
      <c r="K31" s="198">
        <v>-838.98</v>
      </c>
      <c r="L31" s="198">
        <f t="shared" si="1"/>
        <v>660.52</v>
      </c>
      <c r="M31" s="255">
        <f>F31/K31</f>
        <v>0.21271067248325348</v>
      </c>
      <c r="N31" s="197">
        <f>E31-листопад!E31</f>
        <v>0</v>
      </c>
      <c r="O31" s="200">
        <f>F31-листопад!F31</f>
        <v>-4.490000000000009</v>
      </c>
      <c r="P31" s="201">
        <f t="shared" si="7"/>
        <v>-4.490000000000009</v>
      </c>
      <c r="Q31" s="198"/>
      <c r="R31" s="113"/>
      <c r="S31" s="114"/>
      <c r="T31" s="186">
        <f t="shared" si="9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118000+23000+4100+10400</f>
        <v>155500</v>
      </c>
      <c r="E32" s="202">
        <f>D32</f>
        <v>155500</v>
      </c>
      <c r="F32" s="203">
        <v>156199.03</v>
      </c>
      <c r="G32" s="202">
        <f t="shared" si="0"/>
        <v>699.0299999999988</v>
      </c>
      <c r="H32" s="204">
        <f t="shared" si="4"/>
        <v>100.44953697749197</v>
      </c>
      <c r="I32" s="205">
        <f t="shared" si="5"/>
        <v>699.0299999999988</v>
      </c>
      <c r="J32" s="205">
        <f t="shared" si="6"/>
        <v>100.44953697749197</v>
      </c>
      <c r="K32" s="219">
        <v>104269.58</v>
      </c>
      <c r="L32" s="219">
        <f>F32-K32</f>
        <v>51929.45</v>
      </c>
      <c r="M32" s="411">
        <f>F32/K32</f>
        <v>1.4980306816235378</v>
      </c>
      <c r="N32" s="197">
        <f>E32-листопад!E32</f>
        <v>17834.25</v>
      </c>
      <c r="O32" s="200">
        <f>F32-листопад!F32</f>
        <v>6169.040000000008</v>
      </c>
      <c r="P32" s="207">
        <f t="shared" si="7"/>
        <v>-11665.209999999992</v>
      </c>
      <c r="Q32" s="205">
        <f>O32/N32*100</f>
        <v>34.59096962305681</v>
      </c>
      <c r="R32" s="113"/>
      <c r="S32" s="114"/>
      <c r="T32" s="186">
        <f t="shared" si="9"/>
        <v>0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f>D33</f>
        <v>0</v>
      </c>
      <c r="F33" s="171">
        <v>0.23</v>
      </c>
      <c r="G33" s="109">
        <f t="shared" si="0"/>
        <v>0.23</v>
      </c>
      <c r="H33" s="111"/>
      <c r="I33" s="110">
        <f t="shared" si="5"/>
        <v>0.23</v>
      </c>
      <c r="J33" s="110"/>
      <c r="K33" s="142">
        <v>-1.15</v>
      </c>
      <c r="L33" s="142">
        <f t="shared" si="1"/>
        <v>1.38</v>
      </c>
      <c r="M33" s="264">
        <f aca="true" t="shared" si="12" ref="M33:M39">F33/K33</f>
        <v>-0.2</v>
      </c>
      <c r="N33" s="111">
        <f>E33-листопад!E33</f>
        <v>0</v>
      </c>
      <c r="O33" s="179">
        <f>F33-листопад!F33</f>
        <v>0</v>
      </c>
      <c r="P33" s="112">
        <f t="shared" si="7"/>
        <v>0</v>
      </c>
      <c r="Q33" s="110"/>
      <c r="R33" s="113"/>
      <c r="S33" s="114"/>
      <c r="T33" s="186">
        <f t="shared" si="9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28217+6000+4100</f>
        <v>38317</v>
      </c>
      <c r="E34" s="109">
        <f>D34</f>
        <v>38317</v>
      </c>
      <c r="F34" s="171">
        <v>38475.02</v>
      </c>
      <c r="G34" s="109">
        <f t="shared" si="0"/>
        <v>158.0199999999968</v>
      </c>
      <c r="H34" s="111">
        <f t="shared" si="4"/>
        <v>100.41240180598689</v>
      </c>
      <c r="I34" s="110">
        <f t="shared" si="5"/>
        <v>158.0199999999968</v>
      </c>
      <c r="J34" s="110">
        <f t="shared" si="6"/>
        <v>100.41240180598689</v>
      </c>
      <c r="K34" s="142">
        <v>24618.58</v>
      </c>
      <c r="L34" s="142">
        <f t="shared" si="1"/>
        <v>13856.439999999995</v>
      </c>
      <c r="M34" s="264">
        <f t="shared" si="12"/>
        <v>1.5628448107080097</v>
      </c>
      <c r="N34" s="111">
        <f>E34-листопад!E34</f>
        <v>5054.029999999999</v>
      </c>
      <c r="O34" s="179">
        <f>F34-листопад!F34</f>
        <v>1328.8299999999945</v>
      </c>
      <c r="P34" s="112">
        <f t="shared" si="7"/>
        <v>-3725.2000000000044</v>
      </c>
      <c r="Q34" s="110">
        <f>O34/N34*100</f>
        <v>26.292483424118867</v>
      </c>
      <c r="R34" s="113"/>
      <c r="S34" s="114"/>
      <c r="T34" s="186">
        <f t="shared" si="9"/>
        <v>0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89732+17000+10400</f>
        <v>117132</v>
      </c>
      <c r="E35" s="109">
        <f>D35</f>
        <v>117132</v>
      </c>
      <c r="F35" s="171">
        <v>117670.69</v>
      </c>
      <c r="G35" s="109">
        <f t="shared" si="0"/>
        <v>538.6900000000023</v>
      </c>
      <c r="H35" s="111">
        <f t="shared" si="4"/>
        <v>100.45989994194584</v>
      </c>
      <c r="I35" s="110">
        <f t="shared" si="5"/>
        <v>538.6900000000023</v>
      </c>
      <c r="J35" s="110">
        <f t="shared" si="6"/>
        <v>100.45989994194584</v>
      </c>
      <c r="K35" s="142">
        <v>79616.02</v>
      </c>
      <c r="L35" s="142">
        <f t="shared" si="1"/>
        <v>38054.67</v>
      </c>
      <c r="M35" s="264">
        <f t="shared" si="12"/>
        <v>1.4779775477347397</v>
      </c>
      <c r="N35" s="111">
        <f>E35-листопад!E35</f>
        <v>12780.220000000001</v>
      </c>
      <c r="O35" s="179">
        <f>F35-листопад!F35</f>
        <v>4840.199999999997</v>
      </c>
      <c r="P35" s="112">
        <f t="shared" si="7"/>
        <v>-7940.020000000004</v>
      </c>
      <c r="Q35" s="110">
        <f>O35/N35*100</f>
        <v>37.87258748284456</v>
      </c>
      <c r="R35" s="113"/>
      <c r="S35" s="114"/>
      <c r="T35" s="186">
        <f t="shared" si="9"/>
        <v>0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f>D36</f>
        <v>51</v>
      </c>
      <c r="F36" s="171">
        <v>53.08</v>
      </c>
      <c r="G36" s="109">
        <f t="shared" si="0"/>
        <v>2.0799999999999983</v>
      </c>
      <c r="H36" s="111">
        <f t="shared" si="4"/>
        <v>104.07843137254902</v>
      </c>
      <c r="I36" s="110">
        <f t="shared" si="5"/>
        <v>2.0799999999999983</v>
      </c>
      <c r="J36" s="110">
        <f t="shared" si="6"/>
        <v>104.07843137254902</v>
      </c>
      <c r="K36" s="142">
        <v>36.13</v>
      </c>
      <c r="L36" s="142">
        <f t="shared" si="1"/>
        <v>16.949999999999996</v>
      </c>
      <c r="M36" s="264">
        <f t="shared" si="12"/>
        <v>1.4691392194851922</v>
      </c>
      <c r="N36" s="111">
        <f>E36-листопад!E36</f>
        <v>0</v>
      </c>
      <c r="O36" s="179">
        <f>F36-листопад!F36</f>
        <v>0</v>
      </c>
      <c r="P36" s="112">
        <f t="shared" si="7"/>
        <v>0</v>
      </c>
      <c r="Q36" s="110"/>
      <c r="R36" s="113"/>
      <c r="S36" s="114"/>
      <c r="T36" s="186">
        <f t="shared" si="9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5"/>
        <v>0</v>
      </c>
      <c r="J37" s="42"/>
      <c r="K37" s="132">
        <v>6768.9</v>
      </c>
      <c r="L37" s="132">
        <f t="shared" si="1"/>
        <v>-6768.9</v>
      </c>
      <c r="M37" s="265">
        <f t="shared" si="12"/>
        <v>0</v>
      </c>
      <c r="N37" s="152">
        <f>E37-листопад!E37</f>
        <v>0</v>
      </c>
      <c r="O37" s="180">
        <f>F37-листопад!F37</f>
        <v>0</v>
      </c>
      <c r="P37" s="40">
        <f t="shared" si="7"/>
        <v>0</v>
      </c>
      <c r="Q37" s="42"/>
      <c r="R37" s="113"/>
      <c r="S37" s="114"/>
      <c r="T37" s="186">
        <f t="shared" si="9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67352.08</v>
      </c>
      <c r="E38" s="191">
        <f>E39+E40+E41+E42+E43+E45+E47+E48+E49+E50+E51+E56+E57+E61+E44</f>
        <v>67352.08</v>
      </c>
      <c r="F38" s="191">
        <f>F39+F40+F41+F42+F43+F45+F47+F48+F49+F50+F51+F56+F57+F61+F44</f>
        <v>68216.29</v>
      </c>
      <c r="G38" s="191">
        <f>G39+G40+G41+G42+G43+G45+G47+G48+G49+G50+G51+G56+G57+G61</f>
        <v>863.8400000000005</v>
      </c>
      <c r="H38" s="192">
        <f>F38/E38*100</f>
        <v>101.28312295626208</v>
      </c>
      <c r="I38" s="193">
        <f>F38-D38</f>
        <v>864.2099999999919</v>
      </c>
      <c r="J38" s="193">
        <f>F38/D38*100</f>
        <v>101.28312295626208</v>
      </c>
      <c r="K38" s="191">
        <v>50680.75</v>
      </c>
      <c r="L38" s="191">
        <f t="shared" si="1"/>
        <v>17535.539999999994</v>
      </c>
      <c r="M38" s="250">
        <f t="shared" si="12"/>
        <v>1.3460000098656786</v>
      </c>
      <c r="N38" s="191">
        <f>N39+N40+N41+N42+N43+N45+N47+N48+N49+N50+N51+N56+N57+N61+N44</f>
        <v>8168.050000000001</v>
      </c>
      <c r="O38" s="191">
        <f>O39+O40+O41+O42+O43+O45+O47+O48+O49+O50+O51+O56+O57+O61+O44</f>
        <v>7128.350000000001</v>
      </c>
      <c r="P38" s="191">
        <f>P39+P40+P41+P42+P43+P45+P47+P48+P49+P50+P51+P56+P57+P61</f>
        <v>-968.7000000000004</v>
      </c>
      <c r="Q38" s="191">
        <f>O38/N38*100</f>
        <v>87.27113570558457</v>
      </c>
      <c r="R38" s="15" t="e">
        <f>#N/A</f>
        <v>#N/A</v>
      </c>
      <c r="S38" s="15" t="e">
        <f>#N/A</f>
        <v>#N/A</v>
      </c>
      <c r="T38" s="186">
        <f t="shared" si="9"/>
        <v>0</v>
      </c>
    </row>
    <row r="39" spans="1:20" s="6" customFormat="1" ht="46.5">
      <c r="A39" s="8"/>
      <c r="B39" s="49" t="s">
        <v>102</v>
      </c>
      <c r="C39" s="48">
        <v>21010301</v>
      </c>
      <c r="D39" s="190">
        <f>400+150</f>
        <v>550</v>
      </c>
      <c r="E39" s="190">
        <f aca="true" t="shared" si="13" ref="E39:E45">D39</f>
        <v>550</v>
      </c>
      <c r="F39" s="196">
        <v>551.04</v>
      </c>
      <c r="G39" s="202">
        <f>F39-E39</f>
        <v>1.0399999999999636</v>
      </c>
      <c r="H39" s="204">
        <f aca="true" t="shared" si="14" ref="H39:H62">F39/E39*100</f>
        <v>100.1890909090909</v>
      </c>
      <c r="I39" s="205">
        <f>F39-D39</f>
        <v>1.0399999999999636</v>
      </c>
      <c r="J39" s="205">
        <f>F39/D39*100</f>
        <v>100.1890909090909</v>
      </c>
      <c r="K39" s="205">
        <v>0.55</v>
      </c>
      <c r="L39" s="205">
        <f t="shared" si="1"/>
        <v>550.49</v>
      </c>
      <c r="M39" s="266">
        <f t="shared" si="12"/>
        <v>1001.890909090909</v>
      </c>
      <c r="N39" s="204">
        <f>E39-листопад!E39</f>
        <v>152</v>
      </c>
      <c r="O39" s="208">
        <f>F39-листопад!F39</f>
        <v>-0.17000000000007276</v>
      </c>
      <c r="P39" s="207">
        <f>O39-N39</f>
        <v>-152.17000000000007</v>
      </c>
      <c r="Q39" s="205">
        <f aca="true" t="shared" si="15" ref="Q39:Q62">O39/N39*100</f>
        <v>-0.11184210526320576</v>
      </c>
      <c r="R39" s="42"/>
      <c r="S39" s="100"/>
      <c r="T39" s="186">
        <f t="shared" si="9"/>
        <v>0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25000+5007+5593</f>
        <v>35600</v>
      </c>
      <c r="E40" s="190">
        <f t="shared" si="13"/>
        <v>35600</v>
      </c>
      <c r="F40" s="196">
        <v>36136.57</v>
      </c>
      <c r="G40" s="202">
        <f aca="true" t="shared" si="16" ref="G40:G63">F40-E40</f>
        <v>536.5699999999997</v>
      </c>
      <c r="H40" s="204">
        <f t="shared" si="14"/>
        <v>101.5072191011236</v>
      </c>
      <c r="I40" s="205">
        <f aca="true" t="shared" si="17" ref="I40:I63">F40-D40</f>
        <v>536.5699999999997</v>
      </c>
      <c r="J40" s="205">
        <f>F40/D40*100</f>
        <v>101.5072191011236</v>
      </c>
      <c r="K40" s="205">
        <v>19275.42</v>
      </c>
      <c r="L40" s="205">
        <f t="shared" si="1"/>
        <v>16861.15</v>
      </c>
      <c r="M40" s="266"/>
      <c r="N40" s="204">
        <f>E40-листопад!E40</f>
        <v>6134</v>
      </c>
      <c r="O40" s="208">
        <f>F40-листопад!F40</f>
        <v>5057.439999999999</v>
      </c>
      <c r="P40" s="207">
        <f aca="true" t="shared" si="18" ref="P40:P63">O40-N40</f>
        <v>-1076.5600000000013</v>
      </c>
      <c r="Q40" s="205">
        <f t="shared" si="15"/>
        <v>82.44929898924028</v>
      </c>
      <c r="R40" s="42"/>
      <c r="S40" s="100"/>
      <c r="T40" s="186">
        <f t="shared" si="9"/>
        <v>0</v>
      </c>
    </row>
    <row r="41" spans="1:20" s="6" customFormat="1" ht="18">
      <c r="A41" s="8"/>
      <c r="B41" s="144" t="s">
        <v>62</v>
      </c>
      <c r="C41" s="47">
        <v>21080500</v>
      </c>
      <c r="D41" s="190">
        <f>111.44-80.4</f>
        <v>31.039999999999992</v>
      </c>
      <c r="E41" s="190">
        <f t="shared" si="13"/>
        <v>31.039999999999992</v>
      </c>
      <c r="F41" s="196">
        <v>31.98</v>
      </c>
      <c r="G41" s="202">
        <f t="shared" si="16"/>
        <v>0.9400000000000084</v>
      </c>
      <c r="H41" s="204">
        <f t="shared" si="14"/>
        <v>103.02835051546396</v>
      </c>
      <c r="I41" s="205">
        <f t="shared" si="17"/>
        <v>0.9400000000000084</v>
      </c>
      <c r="J41" s="205">
        <f aca="true" t="shared" si="19" ref="J41:J62">F41/D41*100</f>
        <v>103.02835051546396</v>
      </c>
      <c r="K41" s="205">
        <v>445.64</v>
      </c>
      <c r="L41" s="205">
        <f t="shared" si="1"/>
        <v>-413.65999999999997</v>
      </c>
      <c r="M41" s="266">
        <f aca="true" t="shared" si="20" ref="M41:M63">F41/K41</f>
        <v>0.07176196032672112</v>
      </c>
      <c r="N41" s="204">
        <f>E41-листопад!E41</f>
        <v>-80.4</v>
      </c>
      <c r="O41" s="208">
        <f>F41-листопад!F41</f>
        <v>0</v>
      </c>
      <c r="P41" s="207">
        <f t="shared" si="18"/>
        <v>80.4</v>
      </c>
      <c r="Q41" s="205"/>
      <c r="R41" s="42"/>
      <c r="S41" s="100"/>
      <c r="T41" s="186">
        <f t="shared" si="9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f t="shared" si="13"/>
        <v>0</v>
      </c>
      <c r="F42" s="196">
        <v>0.1</v>
      </c>
      <c r="G42" s="202">
        <f t="shared" si="16"/>
        <v>0.1</v>
      </c>
      <c r="H42" s="204"/>
      <c r="I42" s="205">
        <f t="shared" si="17"/>
        <v>0.1</v>
      </c>
      <c r="J42" s="205"/>
      <c r="K42" s="205">
        <v>1.02</v>
      </c>
      <c r="L42" s="205">
        <f t="shared" si="1"/>
        <v>-0.92</v>
      </c>
      <c r="M42" s="266">
        <f t="shared" si="20"/>
        <v>0.09803921568627451</v>
      </c>
      <c r="N42" s="204">
        <f>E42-листопад!E42</f>
        <v>0</v>
      </c>
      <c r="O42" s="208">
        <f>F42-листопад!F42</f>
        <v>0</v>
      </c>
      <c r="P42" s="207">
        <f t="shared" si="18"/>
        <v>0</v>
      </c>
      <c r="Q42" s="205"/>
      <c r="R42" s="42"/>
      <c r="S42" s="100"/>
      <c r="T42" s="186">
        <f t="shared" si="9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f>150+77</f>
        <v>227</v>
      </c>
      <c r="E43" s="190">
        <f t="shared" si="13"/>
        <v>227</v>
      </c>
      <c r="F43" s="196">
        <v>237.36</v>
      </c>
      <c r="G43" s="202">
        <f t="shared" si="16"/>
        <v>10.360000000000014</v>
      </c>
      <c r="H43" s="204">
        <f t="shared" si="14"/>
        <v>104.56387665198238</v>
      </c>
      <c r="I43" s="205">
        <f t="shared" si="17"/>
        <v>10.360000000000014</v>
      </c>
      <c r="J43" s="205">
        <f t="shared" si="19"/>
        <v>104.56387665198238</v>
      </c>
      <c r="K43" s="205">
        <v>126.46</v>
      </c>
      <c r="L43" s="205">
        <f t="shared" si="1"/>
        <v>110.90000000000002</v>
      </c>
      <c r="M43" s="266">
        <f t="shared" si="20"/>
        <v>1.8769571405978176</v>
      </c>
      <c r="N43" s="204">
        <f>E43-листопад!E43</f>
        <v>117</v>
      </c>
      <c r="O43" s="208">
        <f>F43-листопад!F43</f>
        <v>11.850000000000023</v>
      </c>
      <c r="P43" s="207">
        <f t="shared" si="18"/>
        <v>-105.14999999999998</v>
      </c>
      <c r="Q43" s="205">
        <f t="shared" si="15"/>
        <v>10.128205128205147</v>
      </c>
      <c r="R43" s="42"/>
      <c r="S43" s="100"/>
      <c r="T43" s="186">
        <f t="shared" si="9"/>
        <v>0</v>
      </c>
    </row>
    <row r="44" spans="1:20" s="6" customFormat="1" ht="46.5">
      <c r="A44" s="8"/>
      <c r="B44" s="145" t="s">
        <v>83</v>
      </c>
      <c r="C44" s="77">
        <v>21081500</v>
      </c>
      <c r="D44" s="190">
        <f>14+71</f>
        <v>85</v>
      </c>
      <c r="E44" s="190">
        <f t="shared" si="13"/>
        <v>85</v>
      </c>
      <c r="F44" s="196">
        <v>85.37</v>
      </c>
      <c r="G44" s="202">
        <f t="shared" si="16"/>
        <v>0.37000000000000455</v>
      </c>
      <c r="H44" s="204"/>
      <c r="I44" s="205">
        <f t="shared" si="17"/>
        <v>0.37000000000000455</v>
      </c>
      <c r="J44" s="205"/>
      <c r="K44" s="205">
        <v>0</v>
      </c>
      <c r="L44" s="205">
        <f t="shared" si="1"/>
        <v>85.37</v>
      </c>
      <c r="M44" s="266"/>
      <c r="N44" s="204">
        <f>E44-листопад!E44</f>
        <v>71</v>
      </c>
      <c r="O44" s="208">
        <f>F44-листопад!F44</f>
        <v>0</v>
      </c>
      <c r="P44" s="207"/>
      <c r="Q44" s="205"/>
      <c r="R44" s="42"/>
      <c r="S44" s="100"/>
      <c r="T44" s="186">
        <f t="shared" si="9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f>300+400</f>
        <v>700</v>
      </c>
      <c r="E45" s="190">
        <f t="shared" si="13"/>
        <v>700</v>
      </c>
      <c r="F45" s="196">
        <v>757.22</v>
      </c>
      <c r="G45" s="202">
        <f t="shared" si="16"/>
        <v>57.22000000000003</v>
      </c>
      <c r="H45" s="204">
        <f t="shared" si="14"/>
        <v>108.17428571428572</v>
      </c>
      <c r="I45" s="205">
        <f t="shared" si="17"/>
        <v>57.22000000000003</v>
      </c>
      <c r="J45" s="205">
        <f t="shared" si="19"/>
        <v>108.17428571428572</v>
      </c>
      <c r="K45" s="205">
        <v>0</v>
      </c>
      <c r="L45" s="205">
        <f t="shared" si="1"/>
        <v>757.22</v>
      </c>
      <c r="M45" s="266"/>
      <c r="N45" s="204">
        <f>E45-листопад!E45</f>
        <v>410</v>
      </c>
      <c r="O45" s="208">
        <f>F45-листопад!F45</f>
        <v>127.44000000000005</v>
      </c>
      <c r="P45" s="207">
        <f t="shared" si="18"/>
        <v>-282.55999999999995</v>
      </c>
      <c r="Q45" s="205">
        <f t="shared" si="15"/>
        <v>31.082926829268303</v>
      </c>
      <c r="R45" s="42"/>
      <c r="S45" s="100"/>
      <c r="T45" s="186">
        <f t="shared" si="9"/>
        <v>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20"/>
        <v>#DIV/0!</v>
      </c>
      <c r="N46" s="204">
        <f>E46-листопад!E46</f>
        <v>0</v>
      </c>
      <c r="O46" s="208">
        <f>F46-листопад!F46</f>
        <v>0</v>
      </c>
      <c r="P46" s="207"/>
      <c r="Q46" s="205"/>
      <c r="R46" s="42"/>
      <c r="S46" s="100"/>
      <c r="T46" s="186">
        <f t="shared" si="9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f>9900+1200</f>
        <v>11100</v>
      </c>
      <c r="E47" s="190">
        <f aca="true" t="shared" si="21" ref="E47:E57">D47</f>
        <v>11100</v>
      </c>
      <c r="F47" s="196">
        <v>11158.1</v>
      </c>
      <c r="G47" s="202">
        <f t="shared" si="16"/>
        <v>58.100000000000364</v>
      </c>
      <c r="H47" s="204">
        <f t="shared" si="14"/>
        <v>100.52342342342342</v>
      </c>
      <c r="I47" s="205">
        <f t="shared" si="17"/>
        <v>58.100000000000364</v>
      </c>
      <c r="J47" s="205">
        <f t="shared" si="19"/>
        <v>100.52342342342342</v>
      </c>
      <c r="K47" s="205">
        <v>9902.75</v>
      </c>
      <c r="L47" s="205">
        <f t="shared" si="1"/>
        <v>1255.3500000000004</v>
      </c>
      <c r="M47" s="266">
        <f t="shared" si="20"/>
        <v>1.1267678170205246</v>
      </c>
      <c r="N47" s="204">
        <f>E47-листопад!E47</f>
        <v>1550.9799999999996</v>
      </c>
      <c r="O47" s="208">
        <f>F47-листопад!F47</f>
        <v>918.8900000000012</v>
      </c>
      <c r="P47" s="207">
        <f t="shared" si="18"/>
        <v>-632.0899999999983</v>
      </c>
      <c r="Q47" s="205">
        <f t="shared" si="15"/>
        <v>59.2457671923559</v>
      </c>
      <c r="R47" s="42"/>
      <c r="S47" s="100"/>
      <c r="T47" s="186">
        <f t="shared" si="9"/>
        <v>0</v>
      </c>
    </row>
    <row r="48" spans="1:20" s="6" customFormat="1" ht="31.5">
      <c r="A48" s="8"/>
      <c r="B48" s="188" t="s">
        <v>111</v>
      </c>
      <c r="C48" s="77">
        <v>22012600</v>
      </c>
      <c r="D48" s="190">
        <f>650-350</f>
        <v>300</v>
      </c>
      <c r="E48" s="190">
        <f t="shared" si="21"/>
        <v>300</v>
      </c>
      <c r="F48" s="196">
        <v>314.42</v>
      </c>
      <c r="G48" s="202">
        <f t="shared" si="16"/>
        <v>14.420000000000016</v>
      </c>
      <c r="H48" s="204">
        <f t="shared" si="14"/>
        <v>104.80666666666667</v>
      </c>
      <c r="I48" s="205">
        <f t="shared" si="17"/>
        <v>14.420000000000016</v>
      </c>
      <c r="J48" s="205">
        <f t="shared" si="19"/>
        <v>104.80666666666667</v>
      </c>
      <c r="K48" s="205">
        <v>0</v>
      </c>
      <c r="L48" s="205">
        <f t="shared" si="1"/>
        <v>314.42</v>
      </c>
      <c r="M48" s="266"/>
      <c r="N48" s="204">
        <f>E48-листопад!E48</f>
        <v>-350</v>
      </c>
      <c r="O48" s="208">
        <f>F48-листопад!F48</f>
        <v>31.77000000000004</v>
      </c>
      <c r="P48" s="207">
        <f t="shared" si="18"/>
        <v>381.77000000000004</v>
      </c>
      <c r="Q48" s="205"/>
      <c r="R48" s="42"/>
      <c r="S48" s="100"/>
      <c r="T48" s="186">
        <f t="shared" si="9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f>50-31</f>
        <v>19</v>
      </c>
      <c r="E49" s="190">
        <f t="shared" si="21"/>
        <v>19</v>
      </c>
      <c r="F49" s="196">
        <v>19.16</v>
      </c>
      <c r="G49" s="202">
        <f t="shared" si="16"/>
        <v>0.16000000000000014</v>
      </c>
      <c r="H49" s="204">
        <f t="shared" si="14"/>
        <v>100.84210526315789</v>
      </c>
      <c r="I49" s="205">
        <f t="shared" si="17"/>
        <v>0.16000000000000014</v>
      </c>
      <c r="J49" s="205">
        <f t="shared" si="19"/>
        <v>100.84210526315789</v>
      </c>
      <c r="K49" s="205">
        <v>0</v>
      </c>
      <c r="L49" s="205">
        <f t="shared" si="1"/>
        <v>19.16</v>
      </c>
      <c r="M49" s="266"/>
      <c r="N49" s="204">
        <f>E49-листопад!E49</f>
        <v>-21</v>
      </c>
      <c r="O49" s="208">
        <f>F49-листопад!F49</f>
        <v>0</v>
      </c>
      <c r="P49" s="207">
        <f t="shared" si="18"/>
        <v>21</v>
      </c>
      <c r="Q49" s="205">
        <f t="shared" si="15"/>
        <v>0</v>
      </c>
      <c r="R49" s="42"/>
      <c r="S49" s="100"/>
      <c r="T49" s="186">
        <f t="shared" si="9"/>
        <v>0</v>
      </c>
    </row>
    <row r="50" spans="1:20" s="6" customFormat="1" ht="30.75">
      <c r="A50" s="8"/>
      <c r="B50" s="145" t="s">
        <v>14</v>
      </c>
      <c r="C50" s="54">
        <v>22080400</v>
      </c>
      <c r="D50" s="190">
        <f>8000-770</f>
        <v>7230</v>
      </c>
      <c r="E50" s="190">
        <f t="shared" si="21"/>
        <v>7230</v>
      </c>
      <c r="F50" s="196">
        <v>7230.43</v>
      </c>
      <c r="G50" s="202">
        <f t="shared" si="16"/>
        <v>0.43000000000029104</v>
      </c>
      <c r="H50" s="204">
        <f t="shared" si="14"/>
        <v>100.00594744121716</v>
      </c>
      <c r="I50" s="205">
        <f t="shared" si="17"/>
        <v>0.43000000000029104</v>
      </c>
      <c r="J50" s="205">
        <f t="shared" si="19"/>
        <v>100.00594744121716</v>
      </c>
      <c r="K50" s="205">
        <v>8872.3</v>
      </c>
      <c r="L50" s="205">
        <f t="shared" si="1"/>
        <v>-1641.869999999999</v>
      </c>
      <c r="M50" s="266">
        <f t="shared" si="20"/>
        <v>0.81494426473406</v>
      </c>
      <c r="N50" s="204">
        <f>E50-листопад!E50</f>
        <v>13.770000000000437</v>
      </c>
      <c r="O50" s="208">
        <f>F50-листопад!F50</f>
        <v>495.7400000000007</v>
      </c>
      <c r="P50" s="207">
        <f t="shared" si="18"/>
        <v>481.97000000000025</v>
      </c>
      <c r="Q50" s="205">
        <f t="shared" si="15"/>
        <v>3600.145243282389</v>
      </c>
      <c r="R50" s="42"/>
      <c r="S50" s="100"/>
      <c r="T50" s="186">
        <f t="shared" si="9"/>
        <v>0</v>
      </c>
    </row>
    <row r="51" spans="1:20" s="6" customFormat="1" ht="18">
      <c r="A51" s="8"/>
      <c r="B51" s="145" t="s">
        <v>15</v>
      </c>
      <c r="C51" s="48">
        <v>22090000</v>
      </c>
      <c r="D51" s="190">
        <f>7000.04-175-1675</f>
        <v>5150.04</v>
      </c>
      <c r="E51" s="190">
        <f t="shared" si="21"/>
        <v>5150.04</v>
      </c>
      <c r="F51" s="196">
        <v>5150.97</v>
      </c>
      <c r="G51" s="202">
        <f t="shared" si="16"/>
        <v>0.930000000000291</v>
      </c>
      <c r="H51" s="204">
        <f t="shared" si="14"/>
        <v>100.01805811217001</v>
      </c>
      <c r="I51" s="205">
        <f t="shared" si="17"/>
        <v>0.930000000000291</v>
      </c>
      <c r="J51" s="205">
        <f t="shared" si="19"/>
        <v>100.01805811217001</v>
      </c>
      <c r="K51" s="205">
        <v>7235.66</v>
      </c>
      <c r="L51" s="205">
        <f t="shared" si="1"/>
        <v>-2084.6899999999996</v>
      </c>
      <c r="M51" s="266">
        <f t="shared" si="20"/>
        <v>0.7118866834538937</v>
      </c>
      <c r="N51" s="204">
        <f>E51-листопад!E51</f>
        <v>-951.1499999999996</v>
      </c>
      <c r="O51" s="208">
        <f>F51-листопад!F51</f>
        <v>48.23000000000047</v>
      </c>
      <c r="P51" s="207">
        <f t="shared" si="18"/>
        <v>999.3800000000001</v>
      </c>
      <c r="Q51" s="205">
        <f t="shared" si="15"/>
        <v>-5.0707038847711186</v>
      </c>
      <c r="R51" s="42"/>
      <c r="S51" s="100"/>
      <c r="T51" s="186">
        <f t="shared" si="9"/>
        <v>0</v>
      </c>
    </row>
    <row r="52" spans="1:20" s="6" customFormat="1" ht="18" hidden="1">
      <c r="A52" s="8"/>
      <c r="B52" s="55" t="s">
        <v>101</v>
      </c>
      <c r="C52" s="138">
        <v>22090100</v>
      </c>
      <c r="D52" s="109">
        <f>970-175</f>
        <v>795</v>
      </c>
      <c r="E52" s="109">
        <f t="shared" si="21"/>
        <v>795</v>
      </c>
      <c r="F52" s="171">
        <v>826.45</v>
      </c>
      <c r="G52" s="36">
        <f t="shared" si="16"/>
        <v>31.450000000000045</v>
      </c>
      <c r="H52" s="32">
        <f t="shared" si="14"/>
        <v>103.9559748427673</v>
      </c>
      <c r="I52" s="110">
        <f t="shared" si="17"/>
        <v>31.450000000000045</v>
      </c>
      <c r="J52" s="110">
        <f t="shared" si="19"/>
        <v>103.9559748427673</v>
      </c>
      <c r="K52" s="110">
        <v>1089.08</v>
      </c>
      <c r="L52" s="110">
        <f>F52-K52</f>
        <v>-262.6299999999999</v>
      </c>
      <c r="M52" s="115">
        <f t="shared" si="20"/>
        <v>0.758851507694568</v>
      </c>
      <c r="N52" s="204">
        <f>E52-листопад!E52</f>
        <v>-78.99000000000001</v>
      </c>
      <c r="O52" s="208">
        <f>F52-листопад!F52</f>
        <v>41.59000000000003</v>
      </c>
      <c r="P52" s="112">
        <f t="shared" si="18"/>
        <v>120.58000000000004</v>
      </c>
      <c r="Q52" s="132">
        <f t="shared" si="15"/>
        <v>-52.65223446005827</v>
      </c>
      <c r="R52" s="42"/>
      <c r="S52" s="100"/>
      <c r="T52" s="186">
        <f t="shared" si="9"/>
        <v>0</v>
      </c>
    </row>
    <row r="53" spans="1:20" s="6" customFormat="1" ht="18" hidden="1">
      <c r="A53" s="8"/>
      <c r="B53" s="55" t="s">
        <v>98</v>
      </c>
      <c r="C53" s="138">
        <v>22090200</v>
      </c>
      <c r="D53" s="109">
        <v>5.04</v>
      </c>
      <c r="E53" s="109">
        <f t="shared" si="21"/>
        <v>5.04</v>
      </c>
      <c r="F53" s="171">
        <v>0.38</v>
      </c>
      <c r="G53" s="36">
        <f t="shared" si="16"/>
        <v>-4.66</v>
      </c>
      <c r="H53" s="32">
        <f t="shared" si="14"/>
        <v>7.5396825396825395</v>
      </c>
      <c r="I53" s="110">
        <f t="shared" si="17"/>
        <v>-4.66</v>
      </c>
      <c r="J53" s="110">
        <f t="shared" si="19"/>
        <v>7.5396825396825395</v>
      </c>
      <c r="K53" s="110">
        <v>44.23</v>
      </c>
      <c r="L53" s="110">
        <f>F53-K53</f>
        <v>-43.849999999999994</v>
      </c>
      <c r="M53" s="115">
        <f t="shared" si="20"/>
        <v>0.008591453764413295</v>
      </c>
      <c r="N53" s="204">
        <f>E53-листопад!E53</f>
        <v>0</v>
      </c>
      <c r="O53" s="208">
        <f>F53-листопад!F53</f>
        <v>0.09000000000000002</v>
      </c>
      <c r="P53" s="112">
        <f t="shared" si="18"/>
        <v>0.09000000000000002</v>
      </c>
      <c r="Q53" s="132" t="e">
        <f t="shared" si="15"/>
        <v>#DIV/0!</v>
      </c>
      <c r="R53" s="42"/>
      <c r="S53" s="100"/>
      <c r="T53" s="186">
        <f t="shared" si="9"/>
        <v>0</v>
      </c>
    </row>
    <row r="54" spans="1:20" s="6" customFormat="1" ht="18" hidden="1">
      <c r="A54" s="8"/>
      <c r="B54" s="55" t="s">
        <v>99</v>
      </c>
      <c r="C54" s="138">
        <v>22090300</v>
      </c>
      <c r="D54" s="109">
        <v>1</v>
      </c>
      <c r="E54" s="109">
        <f t="shared" si="21"/>
        <v>1</v>
      </c>
      <c r="F54" s="171">
        <v>0.02</v>
      </c>
      <c r="G54" s="36">
        <f t="shared" si="16"/>
        <v>-0.98</v>
      </c>
      <c r="H54" s="32"/>
      <c r="I54" s="110">
        <f t="shared" si="17"/>
        <v>-0.98</v>
      </c>
      <c r="J54" s="110">
        <f t="shared" si="19"/>
        <v>2</v>
      </c>
      <c r="K54" s="110">
        <v>0.75</v>
      </c>
      <c r="L54" s="110">
        <f>F54-K54</f>
        <v>-0.73</v>
      </c>
      <c r="M54" s="115">
        <f t="shared" si="20"/>
        <v>0.02666666666666667</v>
      </c>
      <c r="N54" s="204">
        <f>E54-листопад!E54</f>
        <v>1</v>
      </c>
      <c r="O54" s="208">
        <f>F54-листопад!F54</f>
        <v>0</v>
      </c>
      <c r="P54" s="112">
        <f t="shared" si="18"/>
        <v>-1</v>
      </c>
      <c r="Q54" s="132"/>
      <c r="R54" s="42"/>
      <c r="S54" s="100"/>
      <c r="T54" s="186">
        <f t="shared" si="9"/>
        <v>0</v>
      </c>
    </row>
    <row r="55" spans="1:20" s="6" customFormat="1" ht="18" hidden="1">
      <c r="A55" s="8"/>
      <c r="B55" s="55" t="s">
        <v>100</v>
      </c>
      <c r="C55" s="138">
        <v>22090400</v>
      </c>
      <c r="D55" s="109">
        <f>6024-1675</f>
        <v>4349</v>
      </c>
      <c r="E55" s="109">
        <f t="shared" si="21"/>
        <v>4349</v>
      </c>
      <c r="F55" s="171">
        <v>4324.14</v>
      </c>
      <c r="G55" s="36">
        <f t="shared" si="16"/>
        <v>-24.859999999999673</v>
      </c>
      <c r="H55" s="32">
        <f t="shared" si="14"/>
        <v>99.42837433892849</v>
      </c>
      <c r="I55" s="110">
        <f t="shared" si="17"/>
        <v>-24.859999999999673</v>
      </c>
      <c r="J55" s="110">
        <f t="shared" si="19"/>
        <v>99.42837433892849</v>
      </c>
      <c r="K55" s="110">
        <v>6101.6</v>
      </c>
      <c r="L55" s="110">
        <f>F55-K55</f>
        <v>-1777.46</v>
      </c>
      <c r="M55" s="115">
        <f t="shared" si="20"/>
        <v>0.7086895240592631</v>
      </c>
      <c r="N55" s="204">
        <f>E55-листопад!E55</f>
        <v>-873.1700000000001</v>
      </c>
      <c r="O55" s="208">
        <f>F55-листопад!F55</f>
        <v>6.5700000000006185</v>
      </c>
      <c r="P55" s="112">
        <f t="shared" si="18"/>
        <v>879.7400000000007</v>
      </c>
      <c r="Q55" s="132">
        <f t="shared" si="15"/>
        <v>-0.7524307981264379</v>
      </c>
      <c r="R55" s="42"/>
      <c r="S55" s="100"/>
      <c r="T55" s="186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90">
        <f>10-8</f>
        <v>2</v>
      </c>
      <c r="E56" s="190">
        <f t="shared" si="21"/>
        <v>2</v>
      </c>
      <c r="F56" s="196">
        <v>2.46</v>
      </c>
      <c r="G56" s="202">
        <f t="shared" si="16"/>
        <v>0.45999999999999996</v>
      </c>
      <c r="H56" s="204">
        <f t="shared" si="14"/>
        <v>123</v>
      </c>
      <c r="I56" s="205">
        <f t="shared" si="17"/>
        <v>0.45999999999999996</v>
      </c>
      <c r="J56" s="205">
        <f t="shared" si="19"/>
        <v>123</v>
      </c>
      <c r="K56" s="205">
        <v>10.65</v>
      </c>
      <c r="L56" s="205">
        <f>F56-K56</f>
        <v>-8.190000000000001</v>
      </c>
      <c r="M56" s="266">
        <f t="shared" si="20"/>
        <v>0.23098591549295774</v>
      </c>
      <c r="N56" s="204">
        <f>E56-листопад!E56</f>
        <v>1.83</v>
      </c>
      <c r="O56" s="208">
        <f>F56-листопад!F56</f>
        <v>0</v>
      </c>
      <c r="P56" s="207">
        <f t="shared" si="18"/>
        <v>-1.83</v>
      </c>
      <c r="Q56" s="205"/>
      <c r="R56" s="42"/>
      <c r="S56" s="100"/>
      <c r="T56" s="186">
        <f t="shared" si="9"/>
        <v>0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f>5150+1050</f>
        <v>6200</v>
      </c>
      <c r="E57" s="190">
        <f t="shared" si="21"/>
        <v>6200</v>
      </c>
      <c r="F57" s="196">
        <v>6321.32</v>
      </c>
      <c r="G57" s="202">
        <f t="shared" si="16"/>
        <v>121.31999999999971</v>
      </c>
      <c r="H57" s="204">
        <f t="shared" si="14"/>
        <v>101.95677419354838</v>
      </c>
      <c r="I57" s="205">
        <f t="shared" si="17"/>
        <v>121.31999999999971</v>
      </c>
      <c r="J57" s="205">
        <f t="shared" si="19"/>
        <v>101.95677419354838</v>
      </c>
      <c r="K57" s="205">
        <v>4790.19</v>
      </c>
      <c r="L57" s="205">
        <f aca="true" t="shared" si="22" ref="L57:L63">F57-K57</f>
        <v>1531.13</v>
      </c>
      <c r="M57" s="266">
        <f t="shared" si="20"/>
        <v>1.3196386782152691</v>
      </c>
      <c r="N57" s="204">
        <f>E57-листопад!E57</f>
        <v>1062.0200000000004</v>
      </c>
      <c r="O57" s="208">
        <f>F57-листопад!F57</f>
        <v>376.2999999999993</v>
      </c>
      <c r="P57" s="207">
        <f t="shared" si="18"/>
        <v>-685.7200000000012</v>
      </c>
      <c r="Q57" s="205">
        <f t="shared" si="15"/>
        <v>35.432477731116094</v>
      </c>
      <c r="R57" s="42"/>
      <c r="S57" s="100"/>
      <c r="T57" s="186">
        <f t="shared" si="9"/>
        <v>0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6"/>
        <v>0</v>
      </c>
      <c r="H58" s="204" t="e">
        <f t="shared" si="14"/>
        <v>#DIV/0!</v>
      </c>
      <c r="I58" s="205">
        <f t="shared" si="17"/>
        <v>0</v>
      </c>
      <c r="J58" s="205" t="e">
        <f t="shared" si="19"/>
        <v>#DIV/0!</v>
      </c>
      <c r="K58" s="205"/>
      <c r="L58" s="205">
        <f t="shared" si="22"/>
        <v>0</v>
      </c>
      <c r="M58" s="266" t="e">
        <f t="shared" si="20"/>
        <v>#DIV/0!</v>
      </c>
      <c r="N58" s="204">
        <f>E58-листопад!E58</f>
        <v>0</v>
      </c>
      <c r="O58" s="208">
        <f>F58-вересень!F58</f>
        <v>0</v>
      </c>
      <c r="P58" s="207">
        <f t="shared" si="18"/>
        <v>0</v>
      </c>
      <c r="Q58" s="205" t="e">
        <f t="shared" si="15"/>
        <v>#DIV/0!</v>
      </c>
      <c r="R58" s="42"/>
      <c r="S58" s="100"/>
      <c r="T58" s="186">
        <f t="shared" si="9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1380.17</v>
      </c>
      <c r="G59" s="202"/>
      <c r="H59" s="204"/>
      <c r="I59" s="205"/>
      <c r="J59" s="205"/>
      <c r="K59" s="206">
        <v>1224.23</v>
      </c>
      <c r="L59" s="205">
        <f t="shared" si="22"/>
        <v>155.94000000000005</v>
      </c>
      <c r="M59" s="266">
        <f t="shared" si="20"/>
        <v>1.1273780253710497</v>
      </c>
      <c r="N59" s="204"/>
      <c r="O59" s="220">
        <f>F59-листопад!F59</f>
        <v>124.13000000000011</v>
      </c>
      <c r="P59" s="206"/>
      <c r="Q59" s="205"/>
      <c r="R59" s="42"/>
      <c r="S59" s="100"/>
      <c r="T59" s="186">
        <f t="shared" si="9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f>D60</f>
        <v>0</v>
      </c>
      <c r="F60" s="172">
        <v>0</v>
      </c>
      <c r="G60" s="202">
        <f t="shared" si="16"/>
        <v>0</v>
      </c>
      <c r="H60" s="204"/>
      <c r="I60" s="205">
        <f t="shared" si="17"/>
        <v>0</v>
      </c>
      <c r="J60" s="205"/>
      <c r="K60" s="206"/>
      <c r="L60" s="205">
        <f t="shared" si="22"/>
        <v>0</v>
      </c>
      <c r="M60" s="266" t="e">
        <f t="shared" si="20"/>
        <v>#DIV/0!</v>
      </c>
      <c r="N60" s="204">
        <f>E60-вересень!E60</f>
        <v>0</v>
      </c>
      <c r="O60" s="208">
        <f>F60-вересень!F60</f>
        <v>0</v>
      </c>
      <c r="P60" s="207">
        <f t="shared" si="18"/>
        <v>0</v>
      </c>
      <c r="Q60" s="205"/>
      <c r="R60" s="42"/>
      <c r="S60" s="100"/>
      <c r="T60" s="186">
        <f t="shared" si="9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f>100+58</f>
        <v>158</v>
      </c>
      <c r="E61" s="190">
        <f>D61</f>
        <v>158</v>
      </c>
      <c r="F61" s="196">
        <v>219.79</v>
      </c>
      <c r="G61" s="202">
        <f t="shared" si="16"/>
        <v>61.78999999999999</v>
      </c>
      <c r="H61" s="204">
        <f t="shared" si="14"/>
        <v>139.10759493670886</v>
      </c>
      <c r="I61" s="205">
        <f t="shared" si="17"/>
        <v>61.78999999999999</v>
      </c>
      <c r="J61" s="205">
        <f t="shared" si="19"/>
        <v>139.10759493670886</v>
      </c>
      <c r="K61" s="205">
        <v>20.05</v>
      </c>
      <c r="L61" s="205">
        <f t="shared" si="22"/>
        <v>199.73999999999998</v>
      </c>
      <c r="M61" s="266">
        <f t="shared" si="20"/>
        <v>10.962094763092269</v>
      </c>
      <c r="N61" s="204">
        <f>E61-листопад!E61</f>
        <v>58</v>
      </c>
      <c r="O61" s="208">
        <f>F61-листопад!F61</f>
        <v>60.859999999999985</v>
      </c>
      <c r="P61" s="207">
        <f t="shared" si="18"/>
        <v>2.859999999999985</v>
      </c>
      <c r="Q61" s="205"/>
      <c r="R61" s="42"/>
      <c r="S61" s="100"/>
      <c r="T61" s="186">
        <f t="shared" si="9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f>30-17</f>
        <v>13</v>
      </c>
      <c r="E62" s="190">
        <f>D62</f>
        <v>13</v>
      </c>
      <c r="F62" s="196">
        <v>13.52</v>
      </c>
      <c r="G62" s="202">
        <f t="shared" si="16"/>
        <v>0.5199999999999996</v>
      </c>
      <c r="H62" s="204">
        <f t="shared" si="14"/>
        <v>104</v>
      </c>
      <c r="I62" s="205">
        <f t="shared" si="17"/>
        <v>0.5199999999999996</v>
      </c>
      <c r="J62" s="205">
        <f t="shared" si="19"/>
        <v>104</v>
      </c>
      <c r="K62" s="205">
        <v>26.28</v>
      </c>
      <c r="L62" s="205">
        <f t="shared" si="22"/>
        <v>-12.760000000000002</v>
      </c>
      <c r="M62" s="266">
        <f t="shared" si="20"/>
        <v>0.5144596651445966</v>
      </c>
      <c r="N62" s="204">
        <f>E62-листопад!E62</f>
        <v>-10.7</v>
      </c>
      <c r="O62" s="208">
        <f>F62-листопад!F62</f>
        <v>0</v>
      </c>
      <c r="P62" s="207">
        <f t="shared" si="18"/>
        <v>10.7</v>
      </c>
      <c r="Q62" s="205">
        <f t="shared" si="15"/>
        <v>0</v>
      </c>
      <c r="R62" s="42"/>
      <c r="S62" s="100"/>
      <c r="T62" s="186">
        <f t="shared" si="9"/>
        <v>0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f>D63</f>
        <v>0.8</v>
      </c>
      <c r="F63" s="196">
        <v>1.97</v>
      </c>
      <c r="G63" s="202">
        <f t="shared" si="16"/>
        <v>1.17</v>
      </c>
      <c r="H63" s="204"/>
      <c r="I63" s="205">
        <f t="shared" si="17"/>
        <v>1.17</v>
      </c>
      <c r="J63" s="205"/>
      <c r="K63" s="205">
        <v>0.58</v>
      </c>
      <c r="L63" s="205">
        <f t="shared" si="22"/>
        <v>1.3900000000000001</v>
      </c>
      <c r="M63" s="266">
        <f t="shared" si="20"/>
        <v>3.396551724137931</v>
      </c>
      <c r="N63" s="204">
        <f>E63-листопад!E63</f>
        <v>0.6000000000000001</v>
      </c>
      <c r="O63" s="208">
        <f>F63-листопад!F63</f>
        <v>0.8999999999999999</v>
      </c>
      <c r="P63" s="207">
        <f t="shared" si="18"/>
        <v>0.2999999999999998</v>
      </c>
      <c r="Q63" s="205"/>
      <c r="R63" s="42"/>
      <c r="S63" s="100"/>
      <c r="T63" s="186">
        <f t="shared" si="9"/>
        <v>0</v>
      </c>
    </row>
    <row r="64" spans="1:23" s="6" customFormat="1" ht="18">
      <c r="A64" s="9"/>
      <c r="B64" s="14" t="s">
        <v>28</v>
      </c>
      <c r="C64" s="67"/>
      <c r="D64" s="191">
        <f>D8+D38+D62+D63</f>
        <v>1042725.7300000001</v>
      </c>
      <c r="E64" s="191">
        <f>E8+E38+E62+E63</f>
        <v>1042725.7300000001</v>
      </c>
      <c r="F64" s="191">
        <f>F8+F38+F62+F63</f>
        <v>1012399.8700000001</v>
      </c>
      <c r="G64" s="191">
        <f>F64-E64</f>
        <v>-30325.859999999986</v>
      </c>
      <c r="H64" s="192">
        <f>F64/E64*100</f>
        <v>97.09167433702821</v>
      </c>
      <c r="I64" s="193">
        <f>F64-D64</f>
        <v>-30325.859999999986</v>
      </c>
      <c r="J64" s="193">
        <f>F64/D64*100</f>
        <v>97.09167433702821</v>
      </c>
      <c r="K64" s="193">
        <v>723400.62</v>
      </c>
      <c r="L64" s="193">
        <f>F64-K64</f>
        <v>288999.2500000001</v>
      </c>
      <c r="M64" s="267">
        <f>F64/K64</f>
        <v>1.399500970845173</v>
      </c>
      <c r="N64" s="191">
        <f>N8+N38+N62+N63</f>
        <v>99095.95000000004</v>
      </c>
      <c r="O64" s="191">
        <f>O8+O38+O62+O63</f>
        <v>60698.870000000075</v>
      </c>
      <c r="P64" s="195">
        <f>O64-N64</f>
        <v>-38397.079999999965</v>
      </c>
      <c r="Q64" s="193">
        <f>O64/N64*100</f>
        <v>61.25262435044021</v>
      </c>
      <c r="R64" s="28">
        <f>O64-34768</f>
        <v>25930.870000000075</v>
      </c>
      <c r="S64" s="128">
        <f>O64/34768</f>
        <v>1.7458257593189161</v>
      </c>
      <c r="T64" s="186">
        <f t="shared" si="9"/>
        <v>0</v>
      </c>
      <c r="U64" s="147"/>
      <c r="W64" s="186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9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9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9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9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>
        <f>D69</f>
        <v>0</v>
      </c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F69-листопад!F69</f>
        <v>0</v>
      </c>
      <c r="P69" s="207"/>
      <c r="Q69" s="207"/>
      <c r="R69" s="43"/>
      <c r="S69" s="103"/>
      <c r="T69" s="186">
        <f t="shared" si="9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>
        <f>D70</f>
        <v>0</v>
      </c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-56.2</v>
      </c>
      <c r="L70" s="207">
        <f>F70-K70</f>
        <v>46.010000000000005</v>
      </c>
      <c r="M70" s="254">
        <f>F70/K70</f>
        <v>0.18131672597864767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9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-56.2</v>
      </c>
      <c r="L71" s="228">
        <f>F71-K71</f>
        <v>46.02</v>
      </c>
      <c r="M71" s="260">
        <f>F71/K71</f>
        <v>0.18113879003558717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9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9"/>
        <v>0</v>
      </c>
    </row>
    <row r="73" spans="2:20" ht="31.5">
      <c r="B73" s="23" t="s">
        <v>30</v>
      </c>
      <c r="C73" s="78">
        <v>31030000</v>
      </c>
      <c r="D73" s="221">
        <f>4200+11000-12200</f>
        <v>3000</v>
      </c>
      <c r="E73" s="221">
        <f>D73</f>
        <v>3000</v>
      </c>
      <c r="F73" s="222">
        <v>4618.97</v>
      </c>
      <c r="G73" s="202">
        <f aca="true" t="shared" si="23" ref="G73:G83">F73-E73</f>
        <v>1618.9700000000003</v>
      </c>
      <c r="H73" s="204"/>
      <c r="I73" s="207">
        <f aca="true" t="shared" si="24" ref="I73:I83">F73-D73</f>
        <v>1618.9700000000003</v>
      </c>
      <c r="J73" s="207">
        <f>F73/D73*100</f>
        <v>153.96566666666666</v>
      </c>
      <c r="K73" s="207">
        <v>619.07</v>
      </c>
      <c r="L73" s="207">
        <f aca="true" t="shared" si="25" ref="L73:L83">F73-K73</f>
        <v>3999.9</v>
      </c>
      <c r="M73" s="254">
        <f>F73/K73</f>
        <v>7.461143327895068</v>
      </c>
      <c r="N73" s="204">
        <f>E73-листопад!E73</f>
        <v>-1200</v>
      </c>
      <c r="O73" s="208">
        <f>F73-листопад!F73</f>
        <v>2358.34</v>
      </c>
      <c r="P73" s="207">
        <f aca="true" t="shared" si="26" ref="P73:P86">O73-N73</f>
        <v>3558.34</v>
      </c>
      <c r="Q73" s="207">
        <f>O73/N73*100</f>
        <v>-196.52833333333334</v>
      </c>
      <c r="R73" s="43"/>
      <c r="S73" s="103"/>
      <c r="T73" s="186">
        <f t="shared" si="9"/>
        <v>0</v>
      </c>
    </row>
    <row r="74" spans="2:20" ht="18">
      <c r="B74" s="23" t="s">
        <v>31</v>
      </c>
      <c r="C74" s="78">
        <v>33010000</v>
      </c>
      <c r="D74" s="221">
        <f>7459+9700-6864</f>
        <v>10295</v>
      </c>
      <c r="E74" s="221">
        <f>D74</f>
        <v>10295</v>
      </c>
      <c r="F74" s="222">
        <v>10251.36</v>
      </c>
      <c r="G74" s="202">
        <f t="shared" si="23"/>
        <v>-43.63999999999942</v>
      </c>
      <c r="H74" s="204">
        <f>F74/E74*100</f>
        <v>99.57610490529383</v>
      </c>
      <c r="I74" s="207">
        <f t="shared" si="24"/>
        <v>-43.63999999999942</v>
      </c>
      <c r="J74" s="207">
        <f>F74/D74*100</f>
        <v>99.57610490529383</v>
      </c>
      <c r="K74" s="207">
        <v>8374.15</v>
      </c>
      <c r="L74" s="207">
        <f t="shared" si="25"/>
        <v>1877.210000000001</v>
      </c>
      <c r="M74" s="254">
        <f>F74/K74</f>
        <v>1.2241672289127854</v>
      </c>
      <c r="N74" s="204">
        <f>E74-листопад!E74</f>
        <v>40.68999999999869</v>
      </c>
      <c r="O74" s="208">
        <f>F74-листопад!F74</f>
        <v>2957.7300000000005</v>
      </c>
      <c r="P74" s="207">
        <f t="shared" si="26"/>
        <v>2917.040000000002</v>
      </c>
      <c r="Q74" s="207">
        <f>O74/N74*100</f>
        <v>7268.935856476029</v>
      </c>
      <c r="R74" s="43"/>
      <c r="S74" s="103"/>
      <c r="T74" s="186">
        <f aca="true" t="shared" si="27" ref="T74:T90">D74-E74</f>
        <v>0</v>
      </c>
    </row>
    <row r="75" spans="2:20" ht="31.5">
      <c r="B75" s="23" t="s">
        <v>55</v>
      </c>
      <c r="C75" s="78">
        <v>24170000</v>
      </c>
      <c r="D75" s="221">
        <f>6000+10000-3600</f>
        <v>12400</v>
      </c>
      <c r="E75" s="221">
        <f>D75</f>
        <v>12400</v>
      </c>
      <c r="F75" s="222">
        <v>12593.19</v>
      </c>
      <c r="G75" s="202">
        <f t="shared" si="23"/>
        <v>193.1900000000005</v>
      </c>
      <c r="H75" s="204">
        <f>F75/E75*100</f>
        <v>101.55798387096775</v>
      </c>
      <c r="I75" s="207">
        <f t="shared" si="24"/>
        <v>193.1900000000005</v>
      </c>
      <c r="J75" s="207">
        <f>F75/D75*100</f>
        <v>101.55798387096775</v>
      </c>
      <c r="K75" s="207">
        <v>2315.93</v>
      </c>
      <c r="L75" s="207">
        <f t="shared" si="25"/>
        <v>10277.26</v>
      </c>
      <c r="M75" s="254">
        <f>F75/K75</f>
        <v>5.4376384433035545</v>
      </c>
      <c r="N75" s="204">
        <f>E75-листопад!E75</f>
        <v>3899.1499999999996</v>
      </c>
      <c r="O75" s="208">
        <f>F75-листопад!F75</f>
        <v>218.0600000000013</v>
      </c>
      <c r="P75" s="207">
        <f t="shared" si="26"/>
        <v>-3681.0899999999983</v>
      </c>
      <c r="Q75" s="207">
        <f>O75/N75*100</f>
        <v>5.592500929689838</v>
      </c>
      <c r="R75" s="43"/>
      <c r="S75" s="103"/>
      <c r="T75" s="186">
        <f t="shared" si="27"/>
        <v>0</v>
      </c>
    </row>
    <row r="76" spans="2:20" ht="18">
      <c r="B76" s="23" t="s">
        <v>113</v>
      </c>
      <c r="C76" s="78">
        <v>24110700</v>
      </c>
      <c r="D76" s="221">
        <v>12</v>
      </c>
      <c r="E76" s="221">
        <f>D76</f>
        <v>12</v>
      </c>
      <c r="F76" s="222">
        <v>13</v>
      </c>
      <c r="G76" s="202">
        <f t="shared" si="23"/>
        <v>1</v>
      </c>
      <c r="H76" s="204">
        <f>F76/E76*100</f>
        <v>108.33333333333333</v>
      </c>
      <c r="I76" s="207">
        <f t="shared" si="24"/>
        <v>1</v>
      </c>
      <c r="J76" s="207">
        <f>F76/D76*100</f>
        <v>108.33333333333333</v>
      </c>
      <c r="K76" s="207">
        <v>0</v>
      </c>
      <c r="L76" s="207">
        <f t="shared" si="25"/>
        <v>13</v>
      </c>
      <c r="M76" s="254"/>
      <c r="N76" s="204">
        <f>E76-листопад!E76</f>
        <v>1</v>
      </c>
      <c r="O76" s="208">
        <f>F76-листопад!F76</f>
        <v>1</v>
      </c>
      <c r="P76" s="207">
        <f t="shared" si="26"/>
        <v>0</v>
      </c>
      <c r="Q76" s="207">
        <f>O76/N76*100</f>
        <v>100</v>
      </c>
      <c r="R76" s="43"/>
      <c r="S76" s="151"/>
      <c r="T76" s="186">
        <f t="shared" si="27"/>
        <v>0</v>
      </c>
    </row>
    <row r="77" spans="2:20" ht="33">
      <c r="B77" s="29" t="s">
        <v>52</v>
      </c>
      <c r="C77" s="70"/>
      <c r="D77" s="224">
        <f>D73+D74+D75+D76</f>
        <v>25707</v>
      </c>
      <c r="E77" s="224">
        <f>E73+E74+E75+E76</f>
        <v>25707</v>
      </c>
      <c r="F77" s="225">
        <f>F73+F74+F75+F76</f>
        <v>27476.520000000004</v>
      </c>
      <c r="G77" s="226">
        <f t="shared" si="23"/>
        <v>1769.520000000004</v>
      </c>
      <c r="H77" s="227">
        <f>F77/E77*100</f>
        <v>106.88341696814099</v>
      </c>
      <c r="I77" s="228">
        <f t="shared" si="24"/>
        <v>1769.520000000004</v>
      </c>
      <c r="J77" s="228">
        <f>F77/D77*100</f>
        <v>106.88341696814099</v>
      </c>
      <c r="K77" s="228">
        <v>11309.15</v>
      </c>
      <c r="L77" s="228">
        <f t="shared" si="25"/>
        <v>16167.370000000004</v>
      </c>
      <c r="M77" s="260">
        <f>F77/K77</f>
        <v>2.4295831251685587</v>
      </c>
      <c r="N77" s="226">
        <f>N73+N74+N75+N76</f>
        <v>2740.8399999999983</v>
      </c>
      <c r="O77" s="230">
        <f>O73+O74+O75+O76</f>
        <v>5535.130000000002</v>
      </c>
      <c r="P77" s="228">
        <f t="shared" si="26"/>
        <v>2794.2900000000036</v>
      </c>
      <c r="Q77" s="228">
        <f>O77/N77*100</f>
        <v>201.95013207629796</v>
      </c>
      <c r="R77" s="44"/>
      <c r="S77" s="129"/>
      <c r="T77" s="186">
        <f t="shared" si="27"/>
        <v>0</v>
      </c>
    </row>
    <row r="78" spans="2:20" ht="46.5">
      <c r="B78" s="12" t="s">
        <v>41</v>
      </c>
      <c r="C78" s="80">
        <v>24062100</v>
      </c>
      <c r="D78" s="221">
        <f>1+49</f>
        <v>50</v>
      </c>
      <c r="E78" s="221">
        <f>D78</f>
        <v>50</v>
      </c>
      <c r="F78" s="222">
        <v>69.99</v>
      </c>
      <c r="G78" s="202">
        <f t="shared" si="23"/>
        <v>19.989999999999995</v>
      </c>
      <c r="H78" s="204"/>
      <c r="I78" s="207">
        <f t="shared" si="24"/>
        <v>19.989999999999995</v>
      </c>
      <c r="J78" s="207"/>
      <c r="K78" s="207">
        <v>1.07</v>
      </c>
      <c r="L78" s="207">
        <f t="shared" si="25"/>
        <v>68.92</v>
      </c>
      <c r="M78" s="254">
        <f>F78/K78</f>
        <v>65.41121495327101</v>
      </c>
      <c r="N78" s="204">
        <f>E78-листопад!E78</f>
        <v>50</v>
      </c>
      <c r="O78" s="208">
        <f>F78-листопад!F78</f>
        <v>16.049999999999997</v>
      </c>
      <c r="P78" s="207">
        <f t="shared" si="26"/>
        <v>-33.95</v>
      </c>
      <c r="Q78" s="207"/>
      <c r="R78" s="43"/>
      <c r="S78" s="103"/>
      <c r="T78" s="186">
        <f t="shared" si="27"/>
        <v>0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3"/>
        <v>0</v>
      </c>
      <c r="H79" s="204"/>
      <c r="I79" s="207">
        <f t="shared" si="24"/>
        <v>0</v>
      </c>
      <c r="J79" s="231"/>
      <c r="K79" s="207">
        <v>0</v>
      </c>
      <c r="L79" s="207">
        <f t="shared" si="25"/>
        <v>0</v>
      </c>
      <c r="M79" s="254" t="e">
        <f>F79/K79</f>
        <v>#DIV/0!</v>
      </c>
      <c r="N79" s="204">
        <f>E79-листопад!E79</f>
        <v>0</v>
      </c>
      <c r="O79" s="208">
        <f>F79-листопад!F79</f>
        <v>0</v>
      </c>
      <c r="P79" s="207">
        <f t="shared" si="26"/>
        <v>0</v>
      </c>
      <c r="Q79" s="231"/>
      <c r="R79" s="46"/>
      <c r="S79" s="105"/>
      <c r="T79" s="186">
        <f t="shared" si="27"/>
        <v>0</v>
      </c>
    </row>
    <row r="80" spans="2:20" ht="18">
      <c r="B80" s="23" t="s">
        <v>47</v>
      </c>
      <c r="C80" s="78">
        <v>19010000</v>
      </c>
      <c r="D80" s="221">
        <f>9500-1150</f>
        <v>8350</v>
      </c>
      <c r="E80" s="221">
        <f>D80</f>
        <v>8350</v>
      </c>
      <c r="F80" s="222">
        <v>8350.71</v>
      </c>
      <c r="G80" s="202">
        <f t="shared" si="23"/>
        <v>0.7099999999991269</v>
      </c>
      <c r="H80" s="204">
        <f>F80/E80*100</f>
        <v>100.00850299401196</v>
      </c>
      <c r="I80" s="207">
        <f t="shared" si="24"/>
        <v>0.7099999999991269</v>
      </c>
      <c r="J80" s="207">
        <f>F80/D80*100</f>
        <v>100.00850299401196</v>
      </c>
      <c r="K80" s="207">
        <v>0</v>
      </c>
      <c r="L80" s="207">
        <f t="shared" si="25"/>
        <v>8350.71</v>
      </c>
      <c r="M80" s="254"/>
      <c r="N80" s="204">
        <f>E80-листопад!E80</f>
        <v>-1148.7000000000007</v>
      </c>
      <c r="O80" s="208">
        <f>F80-листопад!F80</f>
        <v>0.049999999999272404</v>
      </c>
      <c r="P80" s="207">
        <f>O80-N80</f>
        <v>1148.75</v>
      </c>
      <c r="Q80" s="231">
        <f>O80/N80*100</f>
        <v>-0.0043527465830305884</v>
      </c>
      <c r="R80" s="46"/>
      <c r="S80" s="105"/>
      <c r="T80" s="186">
        <f t="shared" si="27"/>
        <v>0</v>
      </c>
    </row>
    <row r="81" spans="2:20" ht="31.5">
      <c r="B81" s="23" t="s">
        <v>51</v>
      </c>
      <c r="C81" s="78">
        <v>19050000</v>
      </c>
      <c r="D81" s="221">
        <v>0</v>
      </c>
      <c r="E81" s="221">
        <f>D81</f>
        <v>0</v>
      </c>
      <c r="F81" s="222">
        <v>1.48</v>
      </c>
      <c r="G81" s="202">
        <f t="shared" si="23"/>
        <v>1.48</v>
      </c>
      <c r="H81" s="204"/>
      <c r="I81" s="207">
        <f t="shared" si="24"/>
        <v>1.48</v>
      </c>
      <c r="J81" s="207"/>
      <c r="K81" s="207">
        <v>1.43</v>
      </c>
      <c r="L81" s="207">
        <f t="shared" si="25"/>
        <v>0.050000000000000044</v>
      </c>
      <c r="M81" s="254">
        <f>F81/K81</f>
        <v>1.034965034965035</v>
      </c>
      <c r="N81" s="204">
        <f>E81-листопад!E81</f>
        <v>0</v>
      </c>
      <c r="O81" s="208">
        <f>F81-листопад!F81</f>
        <v>0</v>
      </c>
      <c r="P81" s="207">
        <f t="shared" si="26"/>
        <v>0</v>
      </c>
      <c r="Q81" s="207"/>
      <c r="R81" s="43"/>
      <c r="S81" s="103"/>
      <c r="T81" s="186">
        <f t="shared" si="27"/>
        <v>0</v>
      </c>
    </row>
    <row r="82" spans="2:20" ht="30">
      <c r="B82" s="29" t="s">
        <v>48</v>
      </c>
      <c r="C82" s="78"/>
      <c r="D82" s="224">
        <f>D78+D81+D79+D80</f>
        <v>8400</v>
      </c>
      <c r="E82" s="224">
        <f>E78+E81+E79+E80</f>
        <v>8400</v>
      </c>
      <c r="F82" s="225">
        <f>F78+F81+F79+F80</f>
        <v>8422.179999999998</v>
      </c>
      <c r="G82" s="224">
        <f>G78+G81+G79+G80</f>
        <v>22.179999999999122</v>
      </c>
      <c r="H82" s="227">
        <f>F82/E82*100</f>
        <v>100.26404761904759</v>
      </c>
      <c r="I82" s="228">
        <f t="shared" si="24"/>
        <v>22.179999999998472</v>
      </c>
      <c r="J82" s="228">
        <f>F82/D82*100</f>
        <v>100.26404761904759</v>
      </c>
      <c r="K82" s="228">
        <v>2.5</v>
      </c>
      <c r="L82" s="228">
        <f t="shared" si="25"/>
        <v>8419.679999999998</v>
      </c>
      <c r="M82" s="268">
        <f>F82/K82</f>
        <v>3368.8719999999994</v>
      </c>
      <c r="N82" s="226">
        <f>N78+N81+N79+N80</f>
        <v>-1098.7000000000007</v>
      </c>
      <c r="O82" s="230">
        <f>O78+O81+O79+O80</f>
        <v>16.09999999999927</v>
      </c>
      <c r="P82" s="226">
        <f>P78+P81+P79+P80</f>
        <v>1114.8</v>
      </c>
      <c r="Q82" s="228">
        <f>O82/N82*100</f>
        <v>-1.465368162373647</v>
      </c>
      <c r="R82" s="44"/>
      <c r="S82" s="102"/>
      <c r="T82" s="186">
        <f t="shared" si="27"/>
        <v>0</v>
      </c>
    </row>
    <row r="83" spans="2:20" ht="30.75">
      <c r="B83" s="12" t="s">
        <v>42</v>
      </c>
      <c r="C83" s="48">
        <v>24110900</v>
      </c>
      <c r="D83" s="221">
        <f>43-16</f>
        <v>27</v>
      </c>
      <c r="E83" s="221">
        <f>D83</f>
        <v>27</v>
      </c>
      <c r="F83" s="222">
        <v>28.39</v>
      </c>
      <c r="G83" s="202">
        <f t="shared" si="23"/>
        <v>1.3900000000000006</v>
      </c>
      <c r="H83" s="204">
        <f>F83/E83*100</f>
        <v>105.14814814814815</v>
      </c>
      <c r="I83" s="207">
        <f t="shared" si="24"/>
        <v>1.3900000000000006</v>
      </c>
      <c r="J83" s="207">
        <f>F83/D83*100</f>
        <v>105.14814814814815</v>
      </c>
      <c r="K83" s="207">
        <v>38.99</v>
      </c>
      <c r="L83" s="207">
        <f t="shared" si="25"/>
        <v>-10.600000000000001</v>
      </c>
      <c r="M83" s="254">
        <f>F83/K83</f>
        <v>0.7281354193382918</v>
      </c>
      <c r="N83" s="204">
        <f>E83-листопад!E83</f>
        <v>-3.3599999999999994</v>
      </c>
      <c r="O83" s="208">
        <f>F83-листопад!F83</f>
        <v>0.6000000000000014</v>
      </c>
      <c r="P83" s="207">
        <f t="shared" si="26"/>
        <v>3.960000000000001</v>
      </c>
      <c r="Q83" s="207">
        <f>O83/N83</f>
        <v>-0.17857142857142902</v>
      </c>
      <c r="R83" s="43"/>
      <c r="S83" s="103"/>
      <c r="T83" s="186">
        <f t="shared" si="27"/>
        <v>0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6"/>
        <v>0</v>
      </c>
      <c r="Q84" s="207"/>
      <c r="R84" s="43"/>
      <c r="S84" s="103"/>
      <c r="T84" s="186">
        <f t="shared" si="27"/>
        <v>0</v>
      </c>
    </row>
    <row r="85" spans="2:20" ht="23.25" customHeight="1">
      <c r="B85" s="14" t="s">
        <v>32</v>
      </c>
      <c r="C85" s="71"/>
      <c r="D85" s="232">
        <f>D71+D83+D77+D82</f>
        <v>34134</v>
      </c>
      <c r="E85" s="232">
        <f>E71+E83+E77+E82</f>
        <v>34134</v>
      </c>
      <c r="F85" s="232">
        <f>F71+F83+F77+F82+F84</f>
        <v>35916.91</v>
      </c>
      <c r="G85" s="233">
        <f>F85-E85</f>
        <v>1782.9100000000035</v>
      </c>
      <c r="H85" s="234">
        <f>F85/E85*100</f>
        <v>105.22326712368898</v>
      </c>
      <c r="I85" s="235">
        <f>F85-D85</f>
        <v>1782.9100000000035</v>
      </c>
      <c r="J85" s="235">
        <f>F85/D85*100</f>
        <v>105.22326712368898</v>
      </c>
      <c r="K85" s="235">
        <v>11294.63</v>
      </c>
      <c r="L85" s="235">
        <f>F85-K85</f>
        <v>24622.280000000006</v>
      </c>
      <c r="M85" s="269">
        <f>F85/K85</f>
        <v>3.1799988135954877</v>
      </c>
      <c r="N85" s="232">
        <f>N71+N83+N77+N82</f>
        <v>1638.7799999999975</v>
      </c>
      <c r="O85" s="232">
        <f>O71+O83+O77+O82+O84</f>
        <v>5551.830000000002</v>
      </c>
      <c r="P85" s="235">
        <f t="shared" si="26"/>
        <v>3913.0500000000043</v>
      </c>
      <c r="Q85" s="235">
        <f>O85/N85*100</f>
        <v>338.77823746933757</v>
      </c>
      <c r="R85" s="28">
        <f>O85-8104.96</f>
        <v>-2553.1299999999983</v>
      </c>
      <c r="S85" s="101">
        <f>O85/8104.96</f>
        <v>0.6849916594283009</v>
      </c>
      <c r="T85" s="186">
        <f t="shared" si="27"/>
        <v>0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1076859.73</v>
      </c>
      <c r="F86" s="232">
        <f>F64+F85</f>
        <v>1048316.7800000001</v>
      </c>
      <c r="G86" s="233">
        <f>F86-E86</f>
        <v>-28542.949999999837</v>
      </c>
      <c r="H86" s="234">
        <f>F86/E86*100</f>
        <v>97.34942730191983</v>
      </c>
      <c r="I86" s="235">
        <f>F86-D86</f>
        <v>-28542.949999999837</v>
      </c>
      <c r="J86" s="235">
        <f>F86/D86*100</f>
        <v>97.34942730191983</v>
      </c>
      <c r="K86" s="235">
        <f>K64+K85</f>
        <v>734695.25</v>
      </c>
      <c r="L86" s="235">
        <f>F86-K86</f>
        <v>313621.53000000014</v>
      </c>
      <c r="M86" s="269">
        <f>F86/K86</f>
        <v>1.4268729517442778</v>
      </c>
      <c r="N86" s="233">
        <f>N64+N85</f>
        <v>100734.73000000004</v>
      </c>
      <c r="O86" s="233">
        <f>O64+O85</f>
        <v>66250.70000000007</v>
      </c>
      <c r="P86" s="235">
        <f t="shared" si="26"/>
        <v>-34484.02999999997</v>
      </c>
      <c r="Q86" s="235">
        <f>O86/N86*100</f>
        <v>65.76748654609989</v>
      </c>
      <c r="R86" s="28">
        <f>O86-42872.96</f>
        <v>23377.74000000007</v>
      </c>
      <c r="S86" s="101">
        <f>O86/42872.96</f>
        <v>1.5452793555658408</v>
      </c>
      <c r="T86" s="186">
        <f t="shared" si="27"/>
        <v>0</v>
      </c>
    </row>
    <row r="87" spans="2:20" ht="15">
      <c r="B87" s="20" t="s">
        <v>35</v>
      </c>
      <c r="O87" s="26"/>
      <c r="T87" s="186">
        <f t="shared" si="27"/>
        <v>0</v>
      </c>
    </row>
    <row r="88" spans="2:20" ht="15">
      <c r="B88" s="4" t="s">
        <v>37</v>
      </c>
      <c r="C88" s="81">
        <v>5</v>
      </c>
      <c r="D88" s="4" t="s">
        <v>36</v>
      </c>
      <c r="O88" s="83"/>
      <c r="T88" s="186" t="e">
        <f t="shared" si="27"/>
        <v>#VALUE!</v>
      </c>
    </row>
    <row r="89" spans="2:20" ht="30.75">
      <c r="B89" s="57" t="s">
        <v>54</v>
      </c>
      <c r="C89" s="31">
        <f>IF(P64&lt;0,ABS(P64/C88),0)</f>
        <v>7679.415999999993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7"/>
        <v>#VALUE!</v>
      </c>
    </row>
    <row r="90" spans="2:20" ht="34.5" customHeight="1">
      <c r="B90" s="58" t="s">
        <v>56</v>
      </c>
      <c r="C90" s="87">
        <v>42727</v>
      </c>
      <c r="D90" s="31">
        <v>5068.9</v>
      </c>
      <c r="G90" s="4" t="s">
        <v>59</v>
      </c>
      <c r="O90" s="424"/>
      <c r="P90" s="424"/>
      <c r="T90" s="186">
        <f t="shared" si="27"/>
        <v>5068.9</v>
      </c>
    </row>
    <row r="91" spans="3:16" ht="15">
      <c r="C91" s="87">
        <v>42726</v>
      </c>
      <c r="D91" s="31">
        <v>4180.5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42725</v>
      </c>
      <c r="D92" s="31">
        <v>3936.7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106232.76470999999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2:16" ht="15" hidden="1">
      <c r="B97" s="4" t="s">
        <v>233</v>
      </c>
      <c r="D97" s="73">
        <f>D45+D48+D49</f>
        <v>1019</v>
      </c>
      <c r="E97" s="73">
        <f>E45+E48+E49</f>
        <v>1019</v>
      </c>
      <c r="F97" s="247">
        <f>F45+F48+F49</f>
        <v>1090.8000000000002</v>
      </c>
      <c r="G97" s="73">
        <f>G45+G48+G49</f>
        <v>71.80000000000004</v>
      </c>
      <c r="H97" s="74"/>
      <c r="I97" s="74"/>
      <c r="N97" s="31">
        <f>N45+N48+N49</f>
        <v>39</v>
      </c>
      <c r="O97" s="246">
        <f>O45+O48+O49</f>
        <v>159.2100000000001</v>
      </c>
      <c r="P97" s="31">
        <f>P45+P48+P49</f>
        <v>120.2100000000001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219</v>
      </c>
      <c r="D99" s="31">
        <f>D9+D15+D17+D18+D19+D20+D39+D42+D56+D62+D63</f>
        <v>975925.6500000001</v>
      </c>
      <c r="E99" s="31">
        <f>E9+E15+E17+E18+E19+E20+E39+E42+E56+E62+E63</f>
        <v>975925.6500000001</v>
      </c>
      <c r="F99" s="414">
        <f>F9+F15+F17+F18+F19+F20+F39+F42+F56+F62+F63</f>
        <v>944737.1799999999</v>
      </c>
      <c r="G99" s="31">
        <f>F99-E99</f>
        <v>-31188.470000000205</v>
      </c>
      <c r="H99" s="415">
        <f>F99/E99</f>
        <v>0.9680421659170448</v>
      </c>
      <c r="I99" s="31">
        <f>F99-D99</f>
        <v>-31188.470000000205</v>
      </c>
      <c r="J99" s="415">
        <f>F99/D99</f>
        <v>0.9680421659170448</v>
      </c>
      <c r="N99" s="31">
        <f>N9+N15+N17+N18+N19+N20+N39+N42+N44+N56+N62+N63</f>
        <v>91152.73000000004</v>
      </c>
      <c r="O99" s="414">
        <f>O9+O15+O17+O18+O19+O20+O39+O42+O44+O56+O62+O63</f>
        <v>53570.35000000008</v>
      </c>
      <c r="P99" s="31">
        <f>O99-N99</f>
        <v>-37582.37999999996</v>
      </c>
      <c r="Q99" s="415">
        <f>O99/N99</f>
        <v>0.5876987995861458</v>
      </c>
    </row>
    <row r="100" spans="2:17" ht="15" hidden="1">
      <c r="B100" s="4" t="s">
        <v>220</v>
      </c>
      <c r="D100" s="31">
        <f>D40+D41+D43+D45+D47+D48+D49+D50+D51+D57+D61+D44</f>
        <v>66800.08</v>
      </c>
      <c r="E100" s="31">
        <f>E40+E41+E43+E45+E47+E48+E49+E50+E51+E57+E61+E44</f>
        <v>66800.08</v>
      </c>
      <c r="F100" s="414">
        <f>F40+F41+F43+F45+F47+F48+F49+F50+F51+F57+F61+F44</f>
        <v>67662.68999999999</v>
      </c>
      <c r="G100" s="31">
        <f>G40+G41+G43+G45+G47+G48+G49+G50+G51+G57+G61+G44</f>
        <v>862.6100000000004</v>
      </c>
      <c r="H100" s="415">
        <f>F100/E100</f>
        <v>1.0129133078882537</v>
      </c>
      <c r="I100" s="31">
        <f>I40+I41+I43+I45+I47+I48+I49+I50+I51+I57+I61+I44</f>
        <v>862.6100000000004</v>
      </c>
      <c r="J100" s="415">
        <f>F100/D100</f>
        <v>1.0129133078882537</v>
      </c>
      <c r="K100" s="31">
        <f aca="true" t="shared" si="28" ref="K100:P100">K40+K41+K43+K45+K47+K48+K49+K50+K51+K57+K61+K44</f>
        <v>50668.47</v>
      </c>
      <c r="L100" s="31">
        <f t="shared" si="28"/>
        <v>16994.22000000001</v>
      </c>
      <c r="M100" s="31">
        <f t="shared" si="28"/>
        <v>16.884051307440554</v>
      </c>
      <c r="N100" s="31">
        <f t="shared" si="28"/>
        <v>8014.220000000001</v>
      </c>
      <c r="O100" s="414">
        <f t="shared" si="28"/>
        <v>7128.520000000001</v>
      </c>
      <c r="P100" s="31">
        <f t="shared" si="28"/>
        <v>-814.7000000000004</v>
      </c>
      <c r="Q100" s="415">
        <f>O100/N100</f>
        <v>0.889483942292575</v>
      </c>
    </row>
    <row r="101" spans="2:17" ht="15" hidden="1">
      <c r="B101" s="4" t="s">
        <v>221</v>
      </c>
      <c r="D101" s="31">
        <f>SUM(D99:D100)</f>
        <v>1042725.7300000001</v>
      </c>
      <c r="E101" s="31">
        <f aca="true" t="shared" si="29" ref="E101:P101">SUM(E99:E100)</f>
        <v>1042725.7300000001</v>
      </c>
      <c r="F101" s="414">
        <f t="shared" si="29"/>
        <v>1012399.8699999999</v>
      </c>
      <c r="G101" s="31">
        <f t="shared" si="29"/>
        <v>-30325.860000000204</v>
      </c>
      <c r="H101" s="415">
        <f>F101/E101</f>
        <v>0.9709167433702819</v>
      </c>
      <c r="I101" s="31">
        <f t="shared" si="29"/>
        <v>-30325.860000000204</v>
      </c>
      <c r="J101" s="415">
        <f>F101/D101</f>
        <v>0.9709167433702819</v>
      </c>
      <c r="K101" s="31">
        <f t="shared" si="29"/>
        <v>50668.47</v>
      </c>
      <c r="L101" s="31">
        <f t="shared" si="29"/>
        <v>16994.22000000001</v>
      </c>
      <c r="M101" s="31">
        <f t="shared" si="29"/>
        <v>16.884051307440554</v>
      </c>
      <c r="N101" s="31">
        <f t="shared" si="29"/>
        <v>99166.95000000004</v>
      </c>
      <c r="O101" s="414">
        <f t="shared" si="29"/>
        <v>60698.87000000008</v>
      </c>
      <c r="P101" s="31">
        <f t="shared" si="29"/>
        <v>-38397.07999999996</v>
      </c>
      <c r="Q101" s="415">
        <f>O101/N101</f>
        <v>0.6120876965561617</v>
      </c>
    </row>
    <row r="102" spans="4:21" ht="15" hidden="1">
      <c r="D102" s="31">
        <f>D64-D101</f>
        <v>0</v>
      </c>
      <c r="E102" s="31">
        <f aca="true" t="shared" si="30" ref="E102:U102">E64-E101</f>
        <v>0</v>
      </c>
      <c r="F102" s="31">
        <f t="shared" si="30"/>
        <v>0</v>
      </c>
      <c r="G102" s="31">
        <f t="shared" si="30"/>
        <v>2.1827872842550278E-10</v>
      </c>
      <c r="H102" s="415"/>
      <c r="I102" s="31">
        <f t="shared" si="30"/>
        <v>2.1827872842550278E-10</v>
      </c>
      <c r="J102" s="415"/>
      <c r="K102" s="31">
        <f t="shared" si="30"/>
        <v>672732.15</v>
      </c>
      <c r="L102" s="31">
        <f t="shared" si="30"/>
        <v>272005.0300000001</v>
      </c>
      <c r="M102" s="31">
        <f t="shared" si="30"/>
        <v>-15.484550336595381</v>
      </c>
      <c r="N102" s="31">
        <f t="shared" si="30"/>
        <v>-71</v>
      </c>
      <c r="O102" s="31">
        <f t="shared" si="30"/>
        <v>0</v>
      </c>
      <c r="P102" s="31">
        <f t="shared" si="30"/>
        <v>0</v>
      </c>
      <c r="Q102" s="31"/>
      <c r="R102" s="31">
        <f t="shared" si="30"/>
        <v>25930.870000000075</v>
      </c>
      <c r="S102" s="31">
        <f t="shared" si="30"/>
        <v>1.7458257593189161</v>
      </c>
      <c r="T102" s="31">
        <f t="shared" si="30"/>
        <v>0</v>
      </c>
      <c r="U102" s="31">
        <f t="shared" si="30"/>
        <v>0</v>
      </c>
    </row>
    <row r="103" ht="15" hidden="1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147</v>
      </c>
      <c r="N3" s="450" t="s">
        <v>143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146</v>
      </c>
      <c r="F4" s="456" t="s">
        <v>34</v>
      </c>
      <c r="G4" s="426" t="s">
        <v>141</v>
      </c>
      <c r="H4" s="435" t="s">
        <v>142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144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4"/>
      <c r="O84" s="424"/>
    </row>
    <row r="85" spans="3:15" ht="15">
      <c r="C85" s="87">
        <v>42459</v>
      </c>
      <c r="D85" s="31">
        <v>7576.3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42458</v>
      </c>
      <c r="D86" s="31">
        <v>9190.1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f>4343.7</f>
        <v>4343.7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128</v>
      </c>
      <c r="N3" s="450" t="s">
        <v>119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127</v>
      </c>
      <c r="F4" s="456" t="s">
        <v>34</v>
      </c>
      <c r="G4" s="426" t="s">
        <v>116</v>
      </c>
      <c r="H4" s="435" t="s">
        <v>117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140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118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4"/>
      <c r="O84" s="424"/>
    </row>
    <row r="85" spans="3:15" ht="15">
      <c r="C85" s="87">
        <v>42426</v>
      </c>
      <c r="D85" s="31">
        <v>6256.2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42425</v>
      </c>
      <c r="D86" s="31">
        <v>3536.9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505.3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135</v>
      </c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132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129</v>
      </c>
      <c r="F4" s="456" t="s">
        <v>34</v>
      </c>
      <c r="G4" s="426" t="s">
        <v>130</v>
      </c>
      <c r="H4" s="435" t="s">
        <v>131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60" t="s">
        <v>133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134</v>
      </c>
      <c r="L5" s="431"/>
      <c r="M5" s="436"/>
      <c r="N5" s="461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4"/>
      <c r="O84" s="424"/>
    </row>
    <row r="85" spans="3:15" ht="15">
      <c r="C85" s="87">
        <v>42397</v>
      </c>
      <c r="D85" s="31">
        <v>8685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42396</v>
      </c>
      <c r="D86" s="31">
        <v>4820.3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300.92</v>
      </c>
      <c r="E88" s="74"/>
      <c r="F88" s="140"/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136</v>
      </c>
      <c r="C3" s="444" t="s">
        <v>0</v>
      </c>
      <c r="D3" s="445" t="s">
        <v>115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107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104</v>
      </c>
      <c r="F4" s="462" t="s">
        <v>34</v>
      </c>
      <c r="G4" s="426" t="s">
        <v>109</v>
      </c>
      <c r="H4" s="435" t="s">
        <v>110</v>
      </c>
      <c r="I4" s="426" t="s">
        <v>105</v>
      </c>
      <c r="J4" s="435" t="s">
        <v>106</v>
      </c>
      <c r="K4" s="91" t="s">
        <v>65</v>
      </c>
      <c r="L4" s="96" t="s">
        <v>64</v>
      </c>
      <c r="M4" s="435"/>
      <c r="N4" s="460" t="s">
        <v>103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6.5" customHeight="1">
      <c r="A5" s="442"/>
      <c r="B5" s="443"/>
      <c r="C5" s="444"/>
      <c r="D5" s="445"/>
      <c r="E5" s="452"/>
      <c r="F5" s="463"/>
      <c r="G5" s="427"/>
      <c r="H5" s="436"/>
      <c r="I5" s="427"/>
      <c r="J5" s="436"/>
      <c r="K5" s="429" t="s">
        <v>108</v>
      </c>
      <c r="L5" s="431"/>
      <c r="M5" s="436"/>
      <c r="N5" s="461"/>
      <c r="O5" s="427"/>
      <c r="P5" s="428"/>
      <c r="Q5" s="429" t="s">
        <v>126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2"/>
      <c r="H82" s="432"/>
      <c r="I82" s="432"/>
      <c r="J82" s="43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4"/>
      <c r="O83" s="424"/>
    </row>
    <row r="84" spans="3:15" ht="15">
      <c r="C84" s="87">
        <v>42397</v>
      </c>
      <c r="D84" s="31">
        <v>8685</v>
      </c>
      <c r="F84" s="166" t="s">
        <v>59</v>
      </c>
      <c r="G84" s="418"/>
      <c r="H84" s="418"/>
      <c r="I84" s="131"/>
      <c r="J84" s="421"/>
      <c r="K84" s="421"/>
      <c r="L84" s="421"/>
      <c r="M84" s="421"/>
      <c r="N84" s="424"/>
      <c r="O84" s="424"/>
    </row>
    <row r="85" spans="3:15" ht="15.75" customHeight="1">
      <c r="C85" s="87">
        <v>42396</v>
      </c>
      <c r="D85" s="31">
        <v>4820.3</v>
      </c>
      <c r="F85" s="167"/>
      <c r="G85" s="418"/>
      <c r="H85" s="418"/>
      <c r="I85" s="131"/>
      <c r="J85" s="425"/>
      <c r="K85" s="425"/>
      <c r="L85" s="425"/>
      <c r="M85" s="425"/>
      <c r="N85" s="424"/>
      <c r="O85" s="424"/>
    </row>
    <row r="86" spans="3:13" ht="15.75" customHeight="1">
      <c r="C86" s="87"/>
      <c r="F86" s="167"/>
      <c r="G86" s="420"/>
      <c r="H86" s="420"/>
      <c r="I86" s="139"/>
      <c r="J86" s="421"/>
      <c r="K86" s="421"/>
      <c r="L86" s="421"/>
      <c r="M86" s="421"/>
    </row>
    <row r="87" spans="2:13" ht="18.75" customHeight="1">
      <c r="B87" s="422" t="s">
        <v>57</v>
      </c>
      <c r="C87" s="423"/>
      <c r="D87" s="148">
        <v>300.92</v>
      </c>
      <c r="E87" s="74"/>
      <c r="F87" s="168"/>
      <c r="G87" s="418"/>
      <c r="H87" s="418"/>
      <c r="I87" s="141"/>
      <c r="J87" s="421"/>
      <c r="K87" s="421"/>
      <c r="L87" s="421"/>
      <c r="M87" s="421"/>
    </row>
    <row r="88" spans="6:12" ht="9.75" customHeight="1">
      <c r="F88" s="167"/>
      <c r="G88" s="418"/>
      <c r="H88" s="418"/>
      <c r="I88" s="73"/>
      <c r="J88" s="74"/>
      <c r="K88" s="74"/>
      <c r="L88" s="74"/>
    </row>
    <row r="89" spans="2:12" ht="22.5" customHeight="1" hidden="1">
      <c r="B89" s="416" t="s">
        <v>60</v>
      </c>
      <c r="C89" s="417"/>
      <c r="D89" s="86">
        <v>0</v>
      </c>
      <c r="E89" s="56" t="s">
        <v>24</v>
      </c>
      <c r="F89" s="167"/>
      <c r="G89" s="418"/>
      <c r="H89" s="41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8"/>
      <c r="O90" s="418"/>
    </row>
    <row r="91" spans="4:15" ht="15">
      <c r="D91" s="83"/>
      <c r="I91" s="31"/>
      <c r="N91" s="419"/>
      <c r="O91" s="419"/>
    </row>
    <row r="92" spans="14:15" ht="15">
      <c r="N92" s="418"/>
      <c r="O92" s="41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7" zoomScaleNormal="77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39" t="s">
        <v>222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225</v>
      </c>
      <c r="O3" s="450" t="s">
        <v>217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216</v>
      </c>
      <c r="F4" s="433" t="s">
        <v>34</v>
      </c>
      <c r="G4" s="426" t="s">
        <v>223</v>
      </c>
      <c r="H4" s="435" t="s">
        <v>224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226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218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890598.47</v>
      </c>
      <c r="G8" s="191">
        <f aca="true" t="shared" si="0" ref="G8:G37">F8-E8</f>
        <v>6176.619999999995</v>
      </c>
      <c r="H8" s="192">
        <f>F8/E8*100</f>
        <v>100.69837939892598</v>
      </c>
      <c r="I8" s="193">
        <f>F8-D8</f>
        <v>-66472.9800000001</v>
      </c>
      <c r="J8" s="193">
        <f>F8/D8*100</f>
        <v>93.05454362890042</v>
      </c>
      <c r="K8" s="191">
        <v>608809.78</v>
      </c>
      <c r="L8" s="191">
        <f aca="true" t="shared" si="1" ref="L8:L51">F8-K8</f>
        <v>281788.68999999994</v>
      </c>
      <c r="M8" s="250">
        <f aca="true" t="shared" si="2" ref="M8:M28">F8/K8</f>
        <v>1.4628517794178666</v>
      </c>
      <c r="N8" s="191">
        <f>N9+N15+N18+N19+N20+N17</f>
        <v>88745.92000000001</v>
      </c>
      <c r="O8" s="191">
        <f>O9+O15+O18+O19+O20+O17</f>
        <v>92979.70999999998</v>
      </c>
      <c r="P8" s="191">
        <f>O8-N8</f>
        <v>4233.7899999999645</v>
      </c>
      <c r="Q8" s="191">
        <f>O8/N8*100</f>
        <v>104.77068692284665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480042.75</v>
      </c>
      <c r="G9" s="190">
        <f t="shared" si="0"/>
        <v>-1677.9199999999837</v>
      </c>
      <c r="H9" s="197">
        <f>F9/E9*100</f>
        <v>99.65168195917357</v>
      </c>
      <c r="I9" s="198">
        <f>F9-D9</f>
        <v>-50546.25</v>
      </c>
      <c r="J9" s="198">
        <f>F9/D9*100</f>
        <v>90.47355863012613</v>
      </c>
      <c r="K9" s="412">
        <v>329224.03</v>
      </c>
      <c r="L9" s="199">
        <f t="shared" si="1"/>
        <v>150818.71999999997</v>
      </c>
      <c r="M9" s="251">
        <f t="shared" si="2"/>
        <v>1.458103620200506</v>
      </c>
      <c r="N9" s="197">
        <f>E9-жовтень!E9</f>
        <v>52597</v>
      </c>
      <c r="O9" s="200">
        <f>F9-жовтень!F9</f>
        <v>48759.96000000002</v>
      </c>
      <c r="P9" s="201">
        <f>O9-N9</f>
        <v>-3837.039999999979</v>
      </c>
      <c r="Q9" s="198">
        <f>O9/N9*100</f>
        <v>92.70483107401567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422134.8</v>
      </c>
      <c r="G10" s="109">
        <f t="shared" si="0"/>
        <v>-15315.440000000002</v>
      </c>
      <c r="H10" s="32">
        <f aca="true" t="shared" si="3" ref="H10:H36">F10/E10*100</f>
        <v>96.49892979827831</v>
      </c>
      <c r="I10" s="110">
        <f aca="true" t="shared" si="4" ref="I10:I37">F10-D10</f>
        <v>-63074.20000000001</v>
      </c>
      <c r="J10" s="110">
        <f aca="true" t="shared" si="5" ref="J10:J36">F10/D10*100</f>
        <v>87.00061210735993</v>
      </c>
      <c r="K10" s="112">
        <v>292222.53</v>
      </c>
      <c r="L10" s="112">
        <f t="shared" si="1"/>
        <v>129912.26999999996</v>
      </c>
      <c r="M10" s="252">
        <f t="shared" si="2"/>
        <v>1.4445662351906952</v>
      </c>
      <c r="N10" s="111">
        <f>E10-жовтень!E10</f>
        <v>51300</v>
      </c>
      <c r="O10" s="179">
        <f>F10-жовтень!F10</f>
        <v>42686.45000000001</v>
      </c>
      <c r="P10" s="112">
        <f aca="true" t="shared" si="6" ref="P10:P37">O10-N10</f>
        <v>-8613.549999999988</v>
      </c>
      <c r="Q10" s="198">
        <f aca="true" t="shared" si="7" ref="Q10:Q16">O10/N10*100</f>
        <v>83.20945419103316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36721.72</v>
      </c>
      <c r="G11" s="109">
        <f t="shared" si="0"/>
        <v>13806.780000000002</v>
      </c>
      <c r="H11" s="32">
        <f t="shared" si="3"/>
        <v>160.25230701018637</v>
      </c>
      <c r="I11" s="110">
        <f t="shared" si="4"/>
        <v>13721.720000000001</v>
      </c>
      <c r="J11" s="110">
        <f t="shared" si="5"/>
        <v>159.65965217391306</v>
      </c>
      <c r="K11" s="112">
        <v>17520.05</v>
      </c>
      <c r="L11" s="112">
        <f t="shared" si="1"/>
        <v>19201.670000000002</v>
      </c>
      <c r="M11" s="252">
        <f t="shared" si="2"/>
        <v>2.0959826027893755</v>
      </c>
      <c r="N11" s="111">
        <f>E11-жовтень!E11</f>
        <v>100</v>
      </c>
      <c r="O11" s="179">
        <f>F11-жовтень!F11</f>
        <v>3957.6200000000026</v>
      </c>
      <c r="P11" s="112">
        <f t="shared" si="6"/>
        <v>3857.6200000000026</v>
      </c>
      <c r="Q11" s="198">
        <f t="shared" si="7"/>
        <v>3957.6200000000026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9317.93</v>
      </c>
      <c r="G12" s="109">
        <f t="shared" si="0"/>
        <v>2857.3200000000006</v>
      </c>
      <c r="H12" s="32">
        <f t="shared" si="3"/>
        <v>144.22678353901568</v>
      </c>
      <c r="I12" s="110">
        <f t="shared" si="4"/>
        <v>2817.9300000000003</v>
      </c>
      <c r="J12" s="110">
        <f t="shared" si="5"/>
        <v>143.35276923076924</v>
      </c>
      <c r="K12" s="112">
        <v>4581.23</v>
      </c>
      <c r="L12" s="112">
        <f t="shared" si="1"/>
        <v>4736.700000000001</v>
      </c>
      <c r="M12" s="252">
        <f t="shared" si="2"/>
        <v>2.0339363009497453</v>
      </c>
      <c r="N12" s="111">
        <f>E12-жовтень!E12</f>
        <v>80</v>
      </c>
      <c r="O12" s="179">
        <f>F12-жовтень!F12</f>
        <v>1341.3600000000006</v>
      </c>
      <c r="P12" s="112">
        <f t="shared" si="6"/>
        <v>1261.3600000000006</v>
      </c>
      <c r="Q12" s="198">
        <f t="shared" si="7"/>
        <v>1676.7000000000007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8900.13</v>
      </c>
      <c r="G13" s="109">
        <f t="shared" si="0"/>
        <v>-2514.710000000001</v>
      </c>
      <c r="H13" s="32">
        <f t="shared" si="3"/>
        <v>77.96981823661127</v>
      </c>
      <c r="I13" s="110">
        <f t="shared" si="4"/>
        <v>-3499.870000000001</v>
      </c>
      <c r="J13" s="110">
        <f t="shared" si="5"/>
        <v>71.77524193548386</v>
      </c>
      <c r="K13" s="112">
        <v>6730.35</v>
      </c>
      <c r="L13" s="112">
        <f t="shared" si="1"/>
        <v>2169.779999999999</v>
      </c>
      <c r="M13" s="252">
        <f t="shared" si="2"/>
        <v>1.3223873944148519</v>
      </c>
      <c r="N13" s="111">
        <f>E13-жовтень!E13</f>
        <v>1100</v>
      </c>
      <c r="O13" s="179">
        <f>F13-жовтень!F13</f>
        <v>550.3399999999983</v>
      </c>
      <c r="P13" s="112">
        <f t="shared" si="6"/>
        <v>-549.6600000000017</v>
      </c>
      <c r="Q13" s="198">
        <f t="shared" si="7"/>
        <v>50.030909090908935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92791.79</v>
      </c>
      <c r="G19" s="190">
        <f t="shared" si="0"/>
        <v>-8608.61</v>
      </c>
      <c r="H19" s="197">
        <f t="shared" si="3"/>
        <v>91.51028003834304</v>
      </c>
      <c r="I19" s="198">
        <f t="shared" si="4"/>
        <v>-17108.210000000006</v>
      </c>
      <c r="J19" s="198">
        <f t="shared" si="5"/>
        <v>84.43292993630573</v>
      </c>
      <c r="K19" s="209">
        <v>65538.97</v>
      </c>
      <c r="L19" s="201">
        <f t="shared" si="1"/>
        <v>27252.819999999992</v>
      </c>
      <c r="M19" s="259">
        <f t="shared" si="2"/>
        <v>1.4158261870761777</v>
      </c>
      <c r="N19" s="197">
        <f>E19-жовтень!E19</f>
        <v>10440</v>
      </c>
      <c r="O19" s="200">
        <f>F19-жовтень!F19</f>
        <v>9161.36</v>
      </c>
      <c r="P19" s="201">
        <f t="shared" si="6"/>
        <v>-1278.6399999999994</v>
      </c>
      <c r="Q19" s="198">
        <f aca="true" t="shared" si="9" ref="Q19:Q24">O19/N19*100</f>
        <v>87.75249042145595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317230.94999999995</v>
      </c>
      <c r="G20" s="190">
        <f t="shared" si="0"/>
        <v>16530.969999999972</v>
      </c>
      <c r="H20" s="197">
        <f t="shared" si="3"/>
        <v>105.49749620867948</v>
      </c>
      <c r="I20" s="198">
        <f t="shared" si="4"/>
        <v>1254.2999999999302</v>
      </c>
      <c r="J20" s="198">
        <f t="shared" si="5"/>
        <v>100.39695971205464</v>
      </c>
      <c r="K20" s="198">
        <v>207711.81</v>
      </c>
      <c r="L20" s="201">
        <f t="shared" si="1"/>
        <v>109519.13999999996</v>
      </c>
      <c r="M20" s="254">
        <f t="shared" si="2"/>
        <v>1.5272648676067093</v>
      </c>
      <c r="N20" s="197">
        <f>N21+N30+N31+N32</f>
        <v>25593.920000000013</v>
      </c>
      <c r="O20" s="200">
        <f>F20-жовтень!F20</f>
        <v>35018.19999999995</v>
      </c>
      <c r="P20" s="201">
        <f t="shared" si="6"/>
        <v>9424.27999999994</v>
      </c>
      <c r="Q20" s="198">
        <f t="shared" si="9"/>
        <v>136.82233905552545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167260.1</v>
      </c>
      <c r="G21" s="190">
        <f t="shared" si="0"/>
        <v>4296.679999999993</v>
      </c>
      <c r="H21" s="197">
        <f t="shared" si="3"/>
        <v>102.63659169646783</v>
      </c>
      <c r="I21" s="198">
        <f t="shared" si="4"/>
        <v>-7639.549999999988</v>
      </c>
      <c r="J21" s="198">
        <f t="shared" si="5"/>
        <v>95.63203814301517</v>
      </c>
      <c r="K21" s="198">
        <v>109750.31</v>
      </c>
      <c r="L21" s="201">
        <f t="shared" si="1"/>
        <v>57509.79000000001</v>
      </c>
      <c r="M21" s="254">
        <f t="shared" si="2"/>
        <v>1.5240057180704092</v>
      </c>
      <c r="N21" s="197">
        <f>N22+N25+N26</f>
        <v>13520.01000000001</v>
      </c>
      <c r="O21" s="200">
        <f>F21-жовтень!F21</f>
        <v>13603.779999999999</v>
      </c>
      <c r="P21" s="201">
        <f t="shared" si="6"/>
        <v>83.76999999998952</v>
      </c>
      <c r="Q21" s="198">
        <f t="shared" si="9"/>
        <v>100.61960013343179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20736.16</v>
      </c>
      <c r="G22" s="212">
        <f t="shared" si="0"/>
        <v>3011.7599999999984</v>
      </c>
      <c r="H22" s="214">
        <f t="shared" si="3"/>
        <v>116.9921689873846</v>
      </c>
      <c r="I22" s="215">
        <f t="shared" si="4"/>
        <v>2236.16</v>
      </c>
      <c r="J22" s="215">
        <f t="shared" si="5"/>
        <v>112.08735135135134</v>
      </c>
      <c r="K22" s="216">
        <v>12713.66</v>
      </c>
      <c r="L22" s="206">
        <f t="shared" si="1"/>
        <v>8022.5</v>
      </c>
      <c r="M22" s="262">
        <f t="shared" si="2"/>
        <v>1.6310142004741357</v>
      </c>
      <c r="N22" s="214">
        <f>E22-жовтень!E22</f>
        <v>400</v>
      </c>
      <c r="O22" s="217">
        <f>F22-жовтень!F22</f>
        <v>514.7700000000004</v>
      </c>
      <c r="P22" s="218">
        <f t="shared" si="6"/>
        <v>114.77000000000044</v>
      </c>
      <c r="Q22" s="215">
        <f t="shared" si="9"/>
        <v>128.6925000000001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816.85</v>
      </c>
      <c r="G23" s="241">
        <f t="shared" si="0"/>
        <v>-607.5500000000001</v>
      </c>
      <c r="H23" s="242">
        <f t="shared" si="3"/>
        <v>57.34695310306094</v>
      </c>
      <c r="I23" s="243">
        <f t="shared" si="4"/>
        <v>-1183.15</v>
      </c>
      <c r="J23" s="243">
        <f t="shared" si="5"/>
        <v>40.8425</v>
      </c>
      <c r="K23" s="243">
        <v>683.67</v>
      </c>
      <c r="L23" s="243">
        <f t="shared" si="1"/>
        <v>133.18000000000006</v>
      </c>
      <c r="M23" s="413">
        <f t="shared" si="2"/>
        <v>1.194801585560285</v>
      </c>
      <c r="N23" s="242">
        <f>E23-жовтень!E23</f>
        <v>200</v>
      </c>
      <c r="O23" s="242">
        <f>F23-жовтень!F23</f>
        <v>21.31000000000006</v>
      </c>
      <c r="P23" s="243">
        <f t="shared" si="6"/>
        <v>-178.68999999999994</v>
      </c>
      <c r="Q23" s="243">
        <f t="shared" si="9"/>
        <v>10.65500000000003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19919.31</v>
      </c>
      <c r="G24" s="241">
        <f t="shared" si="0"/>
        <v>3619.3100000000013</v>
      </c>
      <c r="H24" s="242">
        <f t="shared" si="3"/>
        <v>122.20435582822087</v>
      </c>
      <c r="I24" s="243">
        <f t="shared" si="4"/>
        <v>3419.3100000000013</v>
      </c>
      <c r="J24" s="243">
        <f t="shared" si="5"/>
        <v>120.72309090909093</v>
      </c>
      <c r="K24" s="243">
        <v>12029.99</v>
      </c>
      <c r="L24" s="243">
        <f t="shared" si="1"/>
        <v>7889.3200000000015</v>
      </c>
      <c r="M24" s="413">
        <f t="shared" si="2"/>
        <v>1.6558043689146875</v>
      </c>
      <c r="N24" s="242">
        <f>E24-жовтень!E24</f>
        <v>200</v>
      </c>
      <c r="O24" s="242">
        <f>F24-жовтень!F24</f>
        <v>493.46000000000276</v>
      </c>
      <c r="P24" s="243">
        <f t="shared" si="6"/>
        <v>293.46000000000276</v>
      </c>
      <c r="Q24" s="243">
        <f t="shared" si="9"/>
        <v>246.7300000000014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787.37</v>
      </c>
      <c r="G25" s="212">
        <f t="shared" si="0"/>
        <v>-192.66999999999996</v>
      </c>
      <c r="H25" s="214">
        <f t="shared" si="3"/>
        <v>80.34059834292478</v>
      </c>
      <c r="I25" s="215">
        <f t="shared" si="4"/>
        <v>-212.63</v>
      </c>
      <c r="J25" s="215">
        <f t="shared" si="5"/>
        <v>78.737</v>
      </c>
      <c r="K25" s="215">
        <v>3649.2</v>
      </c>
      <c r="L25" s="215">
        <f t="shared" si="1"/>
        <v>-2861.83</v>
      </c>
      <c r="M25" s="257">
        <f t="shared" si="2"/>
        <v>0.21576509919982464</v>
      </c>
      <c r="N25" s="214">
        <f>E25-жовтень!E25</f>
        <v>0</v>
      </c>
      <c r="O25" s="217">
        <f>F25-жовтень!F25</f>
        <v>-22.91999999999996</v>
      </c>
      <c r="P25" s="218">
        <f t="shared" si="6"/>
        <v>-22.91999999999996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145736.57</v>
      </c>
      <c r="G26" s="212">
        <f t="shared" si="0"/>
        <v>1477.5899999999965</v>
      </c>
      <c r="H26" s="214">
        <f t="shared" si="3"/>
        <v>101.02426205980383</v>
      </c>
      <c r="I26" s="215">
        <f t="shared" si="4"/>
        <v>-9663.079999999987</v>
      </c>
      <c r="J26" s="215">
        <f t="shared" si="5"/>
        <v>93.78178779681937</v>
      </c>
      <c r="K26" s="216">
        <v>93387.45</v>
      </c>
      <c r="L26" s="216">
        <f t="shared" si="1"/>
        <v>52349.12000000001</v>
      </c>
      <c r="M26" s="256">
        <f t="shared" si="2"/>
        <v>1.5605584047963619</v>
      </c>
      <c r="N26" s="214">
        <f>E26-жовтень!E26</f>
        <v>13120.01000000001</v>
      </c>
      <c r="O26" s="217">
        <f>F26-жовтень!F26</f>
        <v>13111.929999999993</v>
      </c>
      <c r="P26" s="218">
        <f t="shared" si="6"/>
        <v>-8.080000000016298</v>
      </c>
      <c r="Q26" s="215">
        <f>O26/N26*100</f>
        <v>99.93841468108626</v>
      </c>
      <c r="R26" s="113"/>
      <c r="S26" s="114"/>
      <c r="T26" s="186">
        <f t="shared" si="8"/>
        <v>11140.669999999984</v>
      </c>
    </row>
    <row r="27" spans="1:20" s="6" customFormat="1" ht="18">
      <c r="A27" s="8"/>
      <c r="B27" s="237" t="s">
        <v>166</v>
      </c>
      <c r="C27" s="238"/>
      <c r="D27" s="241">
        <v>47367</v>
      </c>
      <c r="E27" s="241">
        <v>44411.8</v>
      </c>
      <c r="F27" s="203">
        <v>46002.62</v>
      </c>
      <c r="G27" s="241">
        <f t="shared" si="0"/>
        <v>1590.8199999999997</v>
      </c>
      <c r="H27" s="242">
        <f t="shared" si="3"/>
        <v>103.5819759613436</v>
      </c>
      <c r="I27" s="243">
        <f t="shared" si="4"/>
        <v>-1364.3799999999974</v>
      </c>
      <c r="J27" s="243">
        <f t="shared" si="5"/>
        <v>97.1195558088965</v>
      </c>
      <c r="K27" s="243">
        <v>25267.13</v>
      </c>
      <c r="L27" s="243">
        <f t="shared" si="1"/>
        <v>20735.49</v>
      </c>
      <c r="M27" s="413">
        <f t="shared" si="2"/>
        <v>1.8206507822613807</v>
      </c>
      <c r="N27" s="242">
        <f>E27-жовтень!E27</f>
        <v>4010</v>
      </c>
      <c r="O27" s="242">
        <f>F27-жовтень!F27</f>
        <v>3996.340000000004</v>
      </c>
      <c r="P27" s="243">
        <f t="shared" si="6"/>
        <v>-13.659999999996217</v>
      </c>
      <c r="Q27" s="243">
        <f>O27/N27*100</f>
        <v>99.65935162094772</v>
      </c>
      <c r="R27" s="113"/>
      <c r="S27" s="114"/>
      <c r="T27" s="186">
        <f t="shared" si="8"/>
        <v>2955.199999999997</v>
      </c>
    </row>
    <row r="28" spans="1:20" s="6" customFormat="1" ht="18">
      <c r="A28" s="8"/>
      <c r="B28" s="237" t="s">
        <v>167</v>
      </c>
      <c r="C28" s="238"/>
      <c r="D28" s="241">
        <v>108032.65</v>
      </c>
      <c r="E28" s="241">
        <v>99847.17</v>
      </c>
      <c r="F28" s="203">
        <v>99733.95</v>
      </c>
      <c r="G28" s="241">
        <f t="shared" si="0"/>
        <v>-113.22000000000116</v>
      </c>
      <c r="H28" s="242">
        <f t="shared" si="3"/>
        <v>99.88660670102118</v>
      </c>
      <c r="I28" s="243">
        <f t="shared" si="4"/>
        <v>-8298.699999999997</v>
      </c>
      <c r="J28" s="243">
        <f t="shared" si="5"/>
        <v>92.31834079789768</v>
      </c>
      <c r="K28" s="243">
        <v>68120.32</v>
      </c>
      <c r="L28" s="243">
        <f t="shared" si="1"/>
        <v>31613.62999999999</v>
      </c>
      <c r="M28" s="413">
        <f t="shared" si="2"/>
        <v>1.4640851657772598</v>
      </c>
      <c r="N28" s="242">
        <f>E28-жовтень!E28</f>
        <v>9110</v>
      </c>
      <c r="O28" s="242">
        <f>F28-жовтень!F28</f>
        <v>9115.589999999997</v>
      </c>
      <c r="P28" s="243">
        <f t="shared" si="6"/>
        <v>5.5899999999965075</v>
      </c>
      <c r="Q28" s="243">
        <f>O28/N28*100</f>
        <v>100.0613611416026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114.68</v>
      </c>
      <c r="G30" s="190">
        <f t="shared" si="0"/>
        <v>43.870000000000005</v>
      </c>
      <c r="H30" s="197">
        <f t="shared" si="3"/>
        <v>161.95452619686486</v>
      </c>
      <c r="I30" s="198">
        <f t="shared" si="4"/>
        <v>37.68000000000001</v>
      </c>
      <c r="J30" s="198">
        <f t="shared" si="5"/>
        <v>148.93506493506493</v>
      </c>
      <c r="K30" s="198">
        <v>74.09</v>
      </c>
      <c r="L30" s="198">
        <f t="shared" si="1"/>
        <v>40.59</v>
      </c>
      <c r="M30" s="255">
        <f>F30/K30</f>
        <v>1.5478472128492375</v>
      </c>
      <c r="N30" s="197">
        <f>E30-жовтень!E30</f>
        <v>8</v>
      </c>
      <c r="O30" s="200">
        <f>F30-жовтень!F30</f>
        <v>18.5</v>
      </c>
      <c r="P30" s="201">
        <f t="shared" si="6"/>
        <v>10.5</v>
      </c>
      <c r="Q30" s="198">
        <f>O30/N30*100</f>
        <v>231.25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150029.99</v>
      </c>
      <c r="G32" s="202">
        <f t="shared" si="0"/>
        <v>12364.23999999999</v>
      </c>
      <c r="H32" s="204">
        <f t="shared" si="3"/>
        <v>108.98134793875744</v>
      </c>
      <c r="I32" s="205">
        <f t="shared" si="4"/>
        <v>9029.98999999999</v>
      </c>
      <c r="J32" s="205">
        <f t="shared" si="5"/>
        <v>106.40424822695034</v>
      </c>
      <c r="K32" s="219">
        <v>98660.28</v>
      </c>
      <c r="L32" s="219">
        <f>F32-K32</f>
        <v>51369.70999999999</v>
      </c>
      <c r="M32" s="411">
        <f>F32/K32</f>
        <v>1.520672655702984</v>
      </c>
      <c r="N32" s="197">
        <f>E32-жовтень!E32</f>
        <v>12065.910000000003</v>
      </c>
      <c r="O32" s="200">
        <f>F32-жовтень!F32</f>
        <v>21396.819999999992</v>
      </c>
      <c r="P32" s="207">
        <f t="shared" si="6"/>
        <v>9330.909999999989</v>
      </c>
      <c r="Q32" s="205">
        <f>O32/N32*100</f>
        <v>177.33283274945683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37146.19</v>
      </c>
      <c r="G34" s="109">
        <f t="shared" si="0"/>
        <v>3883.220000000001</v>
      </c>
      <c r="H34" s="111">
        <f t="shared" si="3"/>
        <v>111.67430328680811</v>
      </c>
      <c r="I34" s="110">
        <f t="shared" si="4"/>
        <v>2929.1900000000023</v>
      </c>
      <c r="J34" s="110">
        <f t="shared" si="5"/>
        <v>108.56062775813193</v>
      </c>
      <c r="K34" s="142">
        <v>23706.55</v>
      </c>
      <c r="L34" s="142">
        <f t="shared" si="1"/>
        <v>13439.640000000003</v>
      </c>
      <c r="M34" s="264">
        <f t="shared" si="10"/>
        <v>1.5669167382010458</v>
      </c>
      <c r="N34" s="111">
        <f>E34-жовтень!E34</f>
        <v>2600</v>
      </c>
      <c r="O34" s="179">
        <f>F34-жовтень!F34</f>
        <v>5570.1500000000015</v>
      </c>
      <c r="P34" s="112">
        <f t="shared" si="6"/>
        <v>2970.1500000000015</v>
      </c>
      <c r="Q34" s="110">
        <f>O34/N34*100</f>
        <v>214.23653846153852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112830.49</v>
      </c>
      <c r="G35" s="109">
        <f t="shared" si="0"/>
        <v>8478.710000000006</v>
      </c>
      <c r="H35" s="111">
        <f t="shared" si="3"/>
        <v>108.12512254223168</v>
      </c>
      <c r="I35" s="110">
        <f t="shared" si="4"/>
        <v>6098.490000000005</v>
      </c>
      <c r="J35" s="110">
        <f t="shared" si="5"/>
        <v>105.7138346512761</v>
      </c>
      <c r="K35" s="142">
        <v>74922.37</v>
      </c>
      <c r="L35" s="142">
        <f t="shared" si="1"/>
        <v>37908.12000000001</v>
      </c>
      <c r="M35" s="264">
        <f t="shared" si="10"/>
        <v>1.5059653078246191</v>
      </c>
      <c r="N35" s="111">
        <f>E35-жовтень!E35</f>
        <v>9431.699999999997</v>
      </c>
      <c r="O35" s="179">
        <f>F35-жовтень!F35</f>
        <v>15826.669999999998</v>
      </c>
      <c r="P35" s="112">
        <f t="shared" si="6"/>
        <v>6394.970000000001</v>
      </c>
      <c r="Q35" s="110">
        <f>O35/N35*100</f>
        <v>167.80294114528667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61087.94</v>
      </c>
      <c r="G38" s="191">
        <f>G39+G40+G41+G42+G43+G45+G47+G48+G49+G50+G51+G56+G57+G61</f>
        <v>1832.5400000000006</v>
      </c>
      <c r="H38" s="192">
        <f>F38/E38*100</f>
        <v>103.21693200006827</v>
      </c>
      <c r="I38" s="193">
        <f>F38-D38</f>
        <v>-754.5400000000009</v>
      </c>
      <c r="J38" s="193">
        <f>F38/D38*100</f>
        <v>98.77990015924328</v>
      </c>
      <c r="K38" s="191">
        <v>41741.88</v>
      </c>
      <c r="L38" s="191">
        <f t="shared" si="1"/>
        <v>19346.060000000005</v>
      </c>
      <c r="M38" s="250">
        <f t="shared" si="10"/>
        <v>1.4634688231579414</v>
      </c>
      <c r="N38" s="191">
        <f>N39+N40+N41+N42+N43+N45+N47+N48+N49+N50+N51+N56+N57+N61+N44</f>
        <v>3889</v>
      </c>
      <c r="O38" s="191">
        <f>O39+O40+O41+O42+O43+O45+O47+O48+O49+O50+O51+O56+O57+O61+O44</f>
        <v>6070.210000000002</v>
      </c>
      <c r="P38" s="191">
        <f>P39+P40+P41+P42+P43+P45+P47+P48+P49+P50+P51+P56+P57+P61</f>
        <v>2143.790000000002</v>
      </c>
      <c r="Q38" s="191">
        <f>O38/N38*100</f>
        <v>156.08665466700958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225.51</v>
      </c>
      <c r="G43" s="202">
        <f t="shared" si="13"/>
        <v>115.50999999999999</v>
      </c>
      <c r="H43" s="204">
        <f t="shared" si="11"/>
        <v>205.00909090909093</v>
      </c>
      <c r="I43" s="205">
        <f t="shared" si="14"/>
        <v>75.50999999999999</v>
      </c>
      <c r="J43" s="205">
        <f t="shared" si="16"/>
        <v>150.33999999999997</v>
      </c>
      <c r="K43" s="205">
        <v>267.84</v>
      </c>
      <c r="L43" s="205">
        <f t="shared" si="1"/>
        <v>-42.329999999999984</v>
      </c>
      <c r="M43" s="266">
        <f t="shared" si="17"/>
        <v>0.8419578853046595</v>
      </c>
      <c r="N43" s="204">
        <f>E43-жовтень!E43</f>
        <v>10</v>
      </c>
      <c r="O43" s="208">
        <f>F43-жовтень!F43</f>
        <v>17.829999999999984</v>
      </c>
      <c r="P43" s="207">
        <f t="shared" si="15"/>
        <v>7.829999999999984</v>
      </c>
      <c r="Q43" s="205">
        <f t="shared" si="12"/>
        <v>178.29999999999984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85.37</v>
      </c>
      <c r="G44" s="202">
        <f t="shared" si="13"/>
        <v>71.37</v>
      </c>
      <c r="H44" s="204"/>
      <c r="I44" s="205">
        <f t="shared" si="14"/>
        <v>71.37</v>
      </c>
      <c r="J44" s="205"/>
      <c r="K44" s="205">
        <v>0</v>
      </c>
      <c r="L44" s="205">
        <f t="shared" si="1"/>
        <v>85.37</v>
      </c>
      <c r="M44" s="266"/>
      <c r="N44" s="204">
        <f>E44-жовтень!E44</f>
        <v>0</v>
      </c>
      <c r="O44" s="208">
        <f>F44-жовтень!F44</f>
        <v>37.42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629.78</v>
      </c>
      <c r="G45" s="202">
        <f t="shared" si="13"/>
        <v>339.78</v>
      </c>
      <c r="H45" s="204">
        <f t="shared" si="11"/>
        <v>217.1655172413793</v>
      </c>
      <c r="I45" s="205">
        <f t="shared" si="14"/>
        <v>329.78</v>
      </c>
      <c r="J45" s="205">
        <f t="shared" si="16"/>
        <v>209.92666666666665</v>
      </c>
      <c r="K45" s="205">
        <v>0</v>
      </c>
      <c r="L45" s="205">
        <f t="shared" si="1"/>
        <v>629.78</v>
      </c>
      <c r="M45" s="266"/>
      <c r="N45" s="204">
        <f>E45-жовтень!E45</f>
        <v>18</v>
      </c>
      <c r="O45" s="208">
        <f>F45-жовтень!F45</f>
        <v>98.75999999999999</v>
      </c>
      <c r="P45" s="207">
        <f t="shared" si="15"/>
        <v>80.75999999999999</v>
      </c>
      <c r="Q45" s="205">
        <f t="shared" si="12"/>
        <v>548.6666666666666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10239.21</v>
      </c>
      <c r="G47" s="202">
        <f t="shared" si="13"/>
        <v>690.1899999999987</v>
      </c>
      <c r="H47" s="204">
        <f t="shared" si="11"/>
        <v>107.22786212616582</v>
      </c>
      <c r="I47" s="205">
        <f t="shared" si="14"/>
        <v>339.2099999999991</v>
      </c>
      <c r="J47" s="205">
        <f t="shared" si="16"/>
        <v>103.42636363636363</v>
      </c>
      <c r="K47" s="205">
        <v>8884.54</v>
      </c>
      <c r="L47" s="205">
        <f t="shared" si="1"/>
        <v>1354.6699999999983</v>
      </c>
      <c r="M47" s="266">
        <f t="shared" si="17"/>
        <v>1.1524749733807262</v>
      </c>
      <c r="N47" s="204">
        <f>E47-жовтень!E47</f>
        <v>800</v>
      </c>
      <c r="O47" s="208">
        <f>F47-жовтень!F47</f>
        <v>1362.9699999999993</v>
      </c>
      <c r="P47" s="207">
        <f t="shared" si="15"/>
        <v>562.9699999999993</v>
      </c>
      <c r="Q47" s="205">
        <f t="shared" si="12"/>
        <v>170.37124999999992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282.65</v>
      </c>
      <c r="G48" s="202">
        <f t="shared" si="13"/>
        <v>-367.35</v>
      </c>
      <c r="H48" s="204">
        <f t="shared" si="11"/>
        <v>43.48461538461538</v>
      </c>
      <c r="I48" s="205">
        <f t="shared" si="14"/>
        <v>-367.35</v>
      </c>
      <c r="J48" s="205">
        <f t="shared" si="16"/>
        <v>43.48461538461538</v>
      </c>
      <c r="K48" s="205">
        <v>0</v>
      </c>
      <c r="L48" s="205">
        <f t="shared" si="1"/>
        <v>282.65</v>
      </c>
      <c r="M48" s="266"/>
      <c r="N48" s="204">
        <f>E48-жовтень!E48</f>
        <v>0</v>
      </c>
      <c r="O48" s="208">
        <f>F48-жовтень!F48</f>
        <v>36.119999999999976</v>
      </c>
      <c r="P48" s="207">
        <f t="shared" si="15"/>
        <v>36.119999999999976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5102.74</v>
      </c>
      <c r="G51" s="202">
        <f t="shared" si="13"/>
        <v>-998.4499999999998</v>
      </c>
      <c r="H51" s="204">
        <f t="shared" si="11"/>
        <v>83.63515969835393</v>
      </c>
      <c r="I51" s="205">
        <f t="shared" si="14"/>
        <v>-1897.3000000000002</v>
      </c>
      <c r="J51" s="205">
        <f t="shared" si="16"/>
        <v>72.8958691664619</v>
      </c>
      <c r="K51" s="205">
        <v>6761.32</v>
      </c>
      <c r="L51" s="205">
        <f t="shared" si="1"/>
        <v>-1658.58</v>
      </c>
      <c r="M51" s="266">
        <f t="shared" si="17"/>
        <v>0.7546958286251797</v>
      </c>
      <c r="N51" s="204">
        <f>E51-жовтень!E51</f>
        <v>635</v>
      </c>
      <c r="O51" s="208">
        <f>F51-жовтень!F51</f>
        <v>92.21000000000004</v>
      </c>
      <c r="P51" s="207">
        <f t="shared" si="15"/>
        <v>-542.79</v>
      </c>
      <c r="Q51" s="205">
        <f t="shared" si="12"/>
        <v>14.52125984251969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784.86</v>
      </c>
      <c r="G52" s="36">
        <f t="shared" si="13"/>
        <v>-89.13</v>
      </c>
      <c r="H52" s="32">
        <f t="shared" si="11"/>
        <v>89.801942813991</v>
      </c>
      <c r="I52" s="110">
        <f t="shared" si="14"/>
        <v>-185.14</v>
      </c>
      <c r="J52" s="110">
        <f t="shared" si="16"/>
        <v>80.91340206185566</v>
      </c>
      <c r="K52" s="110">
        <v>1017.62</v>
      </c>
      <c r="L52" s="110">
        <f>F52-K52</f>
        <v>-232.76</v>
      </c>
      <c r="M52" s="115">
        <f t="shared" si="17"/>
        <v>0.7712702187457008</v>
      </c>
      <c r="N52" s="111">
        <f>E52-жовтень!E52</f>
        <v>135</v>
      </c>
      <c r="O52" s="179">
        <f>F52-жовтень!F52</f>
        <v>82.56000000000006</v>
      </c>
      <c r="P52" s="112">
        <f t="shared" si="15"/>
        <v>-52.43999999999994</v>
      </c>
      <c r="Q52" s="132">
        <f t="shared" si="12"/>
        <v>61.155555555555594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4317.57</v>
      </c>
      <c r="G55" s="36">
        <f t="shared" si="13"/>
        <v>-904.6000000000004</v>
      </c>
      <c r="H55" s="32">
        <f t="shared" si="11"/>
        <v>82.67769911741671</v>
      </c>
      <c r="I55" s="110">
        <f t="shared" si="14"/>
        <v>-1706.4300000000003</v>
      </c>
      <c r="J55" s="110">
        <f t="shared" si="16"/>
        <v>71.67280876494023</v>
      </c>
      <c r="K55" s="110">
        <v>5698.8</v>
      </c>
      <c r="L55" s="110">
        <f>F55-K55</f>
        <v>-1381.2300000000005</v>
      </c>
      <c r="M55" s="115">
        <f t="shared" si="17"/>
        <v>0.7576279216677194</v>
      </c>
      <c r="N55" s="111">
        <f>E55-жовтень!E55</f>
        <v>500</v>
      </c>
      <c r="O55" s="179">
        <f>F55-жовтень!F55</f>
        <v>9.649999999999636</v>
      </c>
      <c r="P55" s="112">
        <f t="shared" si="15"/>
        <v>-490.35000000000036</v>
      </c>
      <c r="Q55" s="132">
        <f t="shared" si="12"/>
        <v>1.9299999999999273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5945.02</v>
      </c>
      <c r="G57" s="202">
        <f t="shared" si="13"/>
        <v>807.0400000000009</v>
      </c>
      <c r="H57" s="204">
        <f t="shared" si="11"/>
        <v>115.7073402387709</v>
      </c>
      <c r="I57" s="205">
        <f t="shared" si="14"/>
        <v>795.0200000000004</v>
      </c>
      <c r="J57" s="205">
        <f t="shared" si="16"/>
        <v>115.43728155339808</v>
      </c>
      <c r="K57" s="205">
        <v>4367.82</v>
      </c>
      <c r="L57" s="205">
        <f aca="true" t="shared" si="18" ref="L57:L63">F57-K57</f>
        <v>1577.2000000000007</v>
      </c>
      <c r="M57" s="266">
        <f t="shared" si="17"/>
        <v>1.361095466388267</v>
      </c>
      <c r="N57" s="204">
        <f>E57-жовтень!E57</f>
        <v>60</v>
      </c>
      <c r="O57" s="208">
        <f>F57-жовтень!F57</f>
        <v>406.5600000000004</v>
      </c>
      <c r="P57" s="207">
        <f t="shared" si="15"/>
        <v>346.5600000000004</v>
      </c>
      <c r="Q57" s="205">
        <f t="shared" si="12"/>
        <v>677.6000000000007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1256.04</v>
      </c>
      <c r="G59" s="202"/>
      <c r="H59" s="204"/>
      <c r="I59" s="205"/>
      <c r="J59" s="205"/>
      <c r="K59" s="206">
        <v>1141.97</v>
      </c>
      <c r="L59" s="205">
        <f t="shared" si="18"/>
        <v>114.06999999999994</v>
      </c>
      <c r="M59" s="266">
        <f t="shared" si="17"/>
        <v>1.0998887886722069</v>
      </c>
      <c r="N59" s="204"/>
      <c r="O59" s="220">
        <f>F59-жовтень!F59</f>
        <v>119.17000000000007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1.07</v>
      </c>
      <c r="G63" s="202">
        <f t="shared" si="13"/>
        <v>0.8700000000000001</v>
      </c>
      <c r="H63" s="204"/>
      <c r="I63" s="205">
        <f t="shared" si="14"/>
        <v>0.27</v>
      </c>
      <c r="J63" s="205"/>
      <c r="K63" s="205">
        <v>0.54</v>
      </c>
      <c r="L63" s="205">
        <f t="shared" si="18"/>
        <v>0.53</v>
      </c>
      <c r="M63" s="266">
        <f t="shared" si="17"/>
        <v>1.9814814814814814</v>
      </c>
      <c r="N63" s="204">
        <f>E63-жовтень!E63</f>
        <v>0</v>
      </c>
      <c r="O63" s="208">
        <f>F63-жовтень!F63</f>
        <v>0.050000000000000044</v>
      </c>
      <c r="P63" s="207">
        <f t="shared" si="15"/>
        <v>0.050000000000000044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951700.9999999999</v>
      </c>
      <c r="G64" s="191">
        <f>F64-E64</f>
        <v>8071.219999999972</v>
      </c>
      <c r="H64" s="192">
        <f>F64/E64*100</f>
        <v>100.85533756681566</v>
      </c>
      <c r="I64" s="193">
        <f>F64-D64</f>
        <v>-67243.73000000021</v>
      </c>
      <c r="J64" s="193">
        <f>F64/D64*100</f>
        <v>93.40064990571175</v>
      </c>
      <c r="K64" s="193">
        <v>650580.27</v>
      </c>
      <c r="L64" s="193">
        <f>F64-K64</f>
        <v>301120.72999999986</v>
      </c>
      <c r="M64" s="267">
        <f>F64/K64</f>
        <v>1.4628494651397894</v>
      </c>
      <c r="N64" s="191">
        <f>N8+N38+N62+N63</f>
        <v>92637.22000000002</v>
      </c>
      <c r="O64" s="191">
        <f>O8+O38+O62+O63</f>
        <v>99049.96999999999</v>
      </c>
      <c r="P64" s="195">
        <f>O64-N64</f>
        <v>6412.749999999971</v>
      </c>
      <c r="Q64" s="193">
        <f>O64/N64*100</f>
        <v>106.92243355316575</v>
      </c>
      <c r="R64" s="28">
        <f>O64-34768</f>
        <v>64281.96999999999</v>
      </c>
      <c r="S64" s="128">
        <f>O64/34768</f>
        <v>2.8488831684307407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2260.63</v>
      </c>
      <c r="G73" s="202">
        <f aca="true" t="shared" si="19" ref="G73:G83">F73-E73</f>
        <v>-1939.37</v>
      </c>
      <c r="H73" s="204"/>
      <c r="I73" s="207">
        <f aca="true" t="shared" si="20" ref="I73:I83">F73-D73</f>
        <v>-12939.369999999999</v>
      </c>
      <c r="J73" s="207">
        <f>F73/D73*100</f>
        <v>14.872565789473684</v>
      </c>
      <c r="K73" s="207">
        <v>619</v>
      </c>
      <c r="L73" s="207">
        <f aca="true" t="shared" si="21" ref="L73:L83">F73-K73</f>
        <v>1641.63</v>
      </c>
      <c r="M73" s="254">
        <f>F73/K73</f>
        <v>3.652067851373183</v>
      </c>
      <c r="N73" s="204">
        <f>E73-жовтень!E73</f>
        <v>1500</v>
      </c>
      <c r="O73" s="208">
        <f>F73-жовтень!F73</f>
        <v>208.4300000000003</v>
      </c>
      <c r="P73" s="207">
        <f aca="true" t="shared" si="22" ref="P73:P86">O73-N73</f>
        <v>-1291.5699999999997</v>
      </c>
      <c r="Q73" s="207">
        <f>O73/N73*100</f>
        <v>13.895333333333355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7293.63</v>
      </c>
      <c r="G74" s="202">
        <f t="shared" si="19"/>
        <v>-2960.680000000001</v>
      </c>
      <c r="H74" s="204">
        <f>F74/E74*100</f>
        <v>71.12745762513518</v>
      </c>
      <c r="I74" s="207">
        <f t="shared" si="20"/>
        <v>-9865.369999999999</v>
      </c>
      <c r="J74" s="207">
        <f>F74/D74*100</f>
        <v>42.50614837694505</v>
      </c>
      <c r="K74" s="207">
        <v>8212.99</v>
      </c>
      <c r="L74" s="207">
        <f t="shared" si="21"/>
        <v>-919.3599999999997</v>
      </c>
      <c r="M74" s="254">
        <f>F74/K74</f>
        <v>0.8880602557655617</v>
      </c>
      <c r="N74" s="204">
        <f>E74-жовтень!E74</f>
        <v>5101.4000000000015</v>
      </c>
      <c r="O74" s="208">
        <f>F74-жовтень!F74</f>
        <v>52.13000000000011</v>
      </c>
      <c r="P74" s="207">
        <f t="shared" si="22"/>
        <v>-5049.270000000001</v>
      </c>
      <c r="Q74" s="207">
        <f>O74/N74*100</f>
        <v>1.0218763476692692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12375.13</v>
      </c>
      <c r="G75" s="202">
        <f t="shared" si="19"/>
        <v>3874.279999999999</v>
      </c>
      <c r="H75" s="204">
        <f>F75/E75*100</f>
        <v>145.5752071851638</v>
      </c>
      <c r="I75" s="207">
        <f t="shared" si="20"/>
        <v>-3624.870000000001</v>
      </c>
      <c r="J75" s="207">
        <f>F75/D75*100</f>
        <v>77.3445625</v>
      </c>
      <c r="K75" s="207">
        <v>2292.73</v>
      </c>
      <c r="L75" s="207">
        <f t="shared" si="21"/>
        <v>10082.4</v>
      </c>
      <c r="M75" s="254">
        <f>F75/K75</f>
        <v>5.397552263022685</v>
      </c>
      <c r="N75" s="204">
        <f>E75-жовтень!E75</f>
        <v>5500</v>
      </c>
      <c r="O75" s="208">
        <f>F75-жовтень!F75</f>
        <v>128.3799999999992</v>
      </c>
      <c r="P75" s="207">
        <f t="shared" si="22"/>
        <v>-5371.620000000001</v>
      </c>
      <c r="Q75" s="207">
        <f>O75/N75*100</f>
        <v>2.3341818181818037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21941.39</v>
      </c>
      <c r="G77" s="226">
        <f t="shared" si="19"/>
        <v>-1024.770000000004</v>
      </c>
      <c r="H77" s="227">
        <f>F77/E77*100</f>
        <v>95.53791317312078</v>
      </c>
      <c r="I77" s="228">
        <f t="shared" si="20"/>
        <v>-26429.61</v>
      </c>
      <c r="J77" s="228">
        <f>F77/D77*100</f>
        <v>45.36062930268136</v>
      </c>
      <c r="K77" s="228">
        <v>11124.73</v>
      </c>
      <c r="L77" s="228">
        <f t="shared" si="21"/>
        <v>10816.66</v>
      </c>
      <c r="M77" s="260">
        <f>F77/K77</f>
        <v>1.97230764252256</v>
      </c>
      <c r="N77" s="226">
        <f>N73+N74+N75+N76</f>
        <v>12102.400000000001</v>
      </c>
      <c r="O77" s="230">
        <f>O73+O74+O75+O76</f>
        <v>389.9399999999996</v>
      </c>
      <c r="P77" s="228">
        <f t="shared" si="22"/>
        <v>-11712.460000000003</v>
      </c>
      <c r="Q77" s="228">
        <f>O77/N77*100</f>
        <v>3.2220055526176585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8350.66</v>
      </c>
      <c r="G80" s="202">
        <f t="shared" si="19"/>
        <v>-1148.0400000000009</v>
      </c>
      <c r="H80" s="204">
        <f>F80/E80*100</f>
        <v>87.91371450830113</v>
      </c>
      <c r="I80" s="207">
        <f t="shared" si="20"/>
        <v>-1149.3400000000001</v>
      </c>
      <c r="J80" s="207">
        <f>F80/D80*100</f>
        <v>87.90168421052631</v>
      </c>
      <c r="K80" s="207">
        <v>0</v>
      </c>
      <c r="L80" s="207">
        <f t="shared" si="21"/>
        <v>8350.66</v>
      </c>
      <c r="M80" s="254"/>
      <c r="N80" s="204">
        <f>E80-жовтень!E80</f>
        <v>1873.4000000000005</v>
      </c>
      <c r="O80" s="208">
        <f>F80-жовтень!F80</f>
        <v>1514.5900000000001</v>
      </c>
      <c r="P80" s="207">
        <f>O80-N80</f>
        <v>-358.8100000000004</v>
      </c>
      <c r="Q80" s="231">
        <f>O80/N80*100</f>
        <v>80.84712287818937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1.48</v>
      </c>
      <c r="G81" s="202">
        <f t="shared" si="19"/>
        <v>1.48</v>
      </c>
      <c r="H81" s="204"/>
      <c r="I81" s="207">
        <f t="shared" si="20"/>
        <v>1.48</v>
      </c>
      <c r="J81" s="207"/>
      <c r="K81" s="207">
        <v>1.31</v>
      </c>
      <c r="L81" s="207">
        <f t="shared" si="21"/>
        <v>0.16999999999999993</v>
      </c>
      <c r="M81" s="254">
        <f>F81/K81</f>
        <v>1.129770992366412</v>
      </c>
      <c r="N81" s="204">
        <f>E81-жовтень!E81</f>
        <v>0</v>
      </c>
      <c r="O81" s="208">
        <f>F81-жовтень!F81</f>
        <v>0.1399999999999999</v>
      </c>
      <c r="P81" s="207">
        <f t="shared" si="22"/>
        <v>0.1399999999999999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8406.08</v>
      </c>
      <c r="G82" s="224">
        <f>G78+G81+G79+G80</f>
        <v>-1092.6200000000008</v>
      </c>
      <c r="H82" s="227">
        <f>F82/E82*100</f>
        <v>88.49716276964216</v>
      </c>
      <c r="I82" s="228">
        <f t="shared" si="20"/>
        <v>-1094.92</v>
      </c>
      <c r="J82" s="228">
        <f>F82/D82*100</f>
        <v>88.47573939585307</v>
      </c>
      <c r="K82" s="228">
        <v>1.66</v>
      </c>
      <c r="L82" s="228">
        <f t="shared" si="21"/>
        <v>8404.42</v>
      </c>
      <c r="M82" s="268">
        <f>F82/K82</f>
        <v>5063.903614457831</v>
      </c>
      <c r="N82" s="226">
        <f>N78+N81+N79+N80</f>
        <v>1873.4000000000005</v>
      </c>
      <c r="O82" s="230">
        <f>O78+O81+O79+O80</f>
        <v>1532.7200000000003</v>
      </c>
      <c r="P82" s="226">
        <f>P78+P81+P79+P80</f>
        <v>-340.6800000000004</v>
      </c>
      <c r="Q82" s="228">
        <f>O82/N82*100</f>
        <v>81.81488203266787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27.79</v>
      </c>
      <c r="G83" s="202">
        <f t="shared" si="19"/>
        <v>-2.5700000000000003</v>
      </c>
      <c r="H83" s="204">
        <f>F83/E83*100</f>
        <v>91.53491436100131</v>
      </c>
      <c r="I83" s="207">
        <f t="shared" si="20"/>
        <v>-15.21</v>
      </c>
      <c r="J83" s="207">
        <f>F83/D83*100</f>
        <v>64.62790697674419</v>
      </c>
      <c r="K83" s="207">
        <v>30.61</v>
      </c>
      <c r="L83" s="207">
        <f t="shared" si="21"/>
        <v>-2.8200000000000003</v>
      </c>
      <c r="M83" s="254">
        <f>F83/K83</f>
        <v>0.9078732440378962</v>
      </c>
      <c r="N83" s="204">
        <f>E83-жовтень!E83</f>
        <v>0.5899999999999999</v>
      </c>
      <c r="O83" s="208">
        <f>F83-жовтень!F83</f>
        <v>0.3200000000000003</v>
      </c>
      <c r="P83" s="207">
        <f t="shared" si="22"/>
        <v>-0.2699999999999996</v>
      </c>
      <c r="Q83" s="207">
        <f>O83/N83</f>
        <v>0.5423728813559329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30365.08</v>
      </c>
      <c r="G85" s="233">
        <f>F85-E85</f>
        <v>-2130.140000000003</v>
      </c>
      <c r="H85" s="234">
        <f>F85/E85*100</f>
        <v>93.44475895223974</v>
      </c>
      <c r="I85" s="235">
        <f>F85-D85</f>
        <v>-27549.92</v>
      </c>
      <c r="J85" s="235">
        <f>F85/D85*100</f>
        <v>52.43042389709057</v>
      </c>
      <c r="K85" s="235">
        <v>11101.47</v>
      </c>
      <c r="L85" s="235">
        <f>F85-K85</f>
        <v>19263.61</v>
      </c>
      <c r="M85" s="269">
        <f>F85/K85</f>
        <v>2.7352305595565274</v>
      </c>
      <c r="N85" s="232">
        <f>N71+N83+N77+N82</f>
        <v>13976.390000000003</v>
      </c>
      <c r="O85" s="232">
        <f>O71+O83+O77+O82+O84</f>
        <v>1922.9799999999998</v>
      </c>
      <c r="P85" s="235">
        <f t="shared" si="22"/>
        <v>-12053.410000000003</v>
      </c>
      <c r="Q85" s="235">
        <f>O85/N85*100</f>
        <v>13.758774619197084</v>
      </c>
      <c r="R85" s="28">
        <f>O85-8104.96</f>
        <v>-6181.9800000000005</v>
      </c>
      <c r="S85" s="101">
        <f>O85/8104.96</f>
        <v>0.23725965334807325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982066.0799999998</v>
      </c>
      <c r="G86" s="233">
        <f>F86-E86</f>
        <v>5941.079999999958</v>
      </c>
      <c r="H86" s="234">
        <f>F86/E86*100</f>
        <v>100.60863926238954</v>
      </c>
      <c r="I86" s="235">
        <f>F86-D86</f>
        <v>-94793.65000000014</v>
      </c>
      <c r="J86" s="235">
        <f>F86/D86*100</f>
        <v>91.19721470130561</v>
      </c>
      <c r="K86" s="235">
        <f>K64+K85</f>
        <v>661681.74</v>
      </c>
      <c r="L86" s="235">
        <f>F86-K86</f>
        <v>320384.33999999985</v>
      </c>
      <c r="M86" s="269">
        <f>F86/K86</f>
        <v>1.4841970401057158</v>
      </c>
      <c r="N86" s="233">
        <f>N64+N85</f>
        <v>106613.61000000002</v>
      </c>
      <c r="O86" s="233">
        <f>O64+O85</f>
        <v>100972.94999999998</v>
      </c>
      <c r="P86" s="235">
        <f t="shared" si="22"/>
        <v>-5640.660000000033</v>
      </c>
      <c r="Q86" s="235">
        <f>O86/N86*100</f>
        <v>94.70924959768267</v>
      </c>
      <c r="R86" s="28">
        <f>O86-42872.96</f>
        <v>58099.98999999998</v>
      </c>
      <c r="S86" s="101">
        <f>O86/42872.96</f>
        <v>2.3551662866291476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42704</v>
      </c>
      <c r="D90" s="31">
        <v>10501.2</v>
      </c>
      <c r="G90" s="4" t="s">
        <v>59</v>
      </c>
      <c r="O90" s="424"/>
      <c r="P90" s="424"/>
      <c r="T90" s="186">
        <f t="shared" si="23"/>
        <v>10501.2</v>
      </c>
    </row>
    <row r="91" spans="3:16" ht="15">
      <c r="C91" s="87">
        <v>42703</v>
      </c>
      <c r="D91" s="31">
        <v>11827.8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42702</v>
      </c>
      <c r="D92" s="31">
        <v>7211.9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0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931.5899999999999</v>
      </c>
      <c r="G97" s="73">
        <f>G45+G48+G49</f>
        <v>-48.41000000000005</v>
      </c>
      <c r="H97" s="74"/>
      <c r="I97" s="74"/>
      <c r="N97" s="31">
        <f>N45+N48+N49</f>
        <v>22</v>
      </c>
      <c r="O97" s="246">
        <f>O45+O48+O49</f>
        <v>137.07999999999996</v>
      </c>
      <c r="P97" s="31">
        <f>P45+P48+P49</f>
        <v>115.07999999999997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219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891166.8299999998</v>
      </c>
      <c r="G99" s="31">
        <f>F99-E99</f>
        <v>6322.909999999916</v>
      </c>
      <c r="H99" s="415">
        <f>F99/E99</f>
        <v>1.007145791316507</v>
      </c>
      <c r="I99" s="31">
        <f>F99-D99</f>
        <v>-66345.42000000027</v>
      </c>
      <c r="J99" s="415">
        <f>F99/D99</f>
        <v>0.9307106305950652</v>
      </c>
      <c r="N99" s="31">
        <f>N9+N15+N17+N18+N19+N20+N39+N42+N44+N56+N62+N63</f>
        <v>88760.22000000002</v>
      </c>
      <c r="O99" s="414">
        <f>O9+O15+O17+O18+O19+O20+O39+O42+O44+O56+O62+O63</f>
        <v>93083.55999999998</v>
      </c>
      <c r="P99" s="31">
        <f>O99-N99</f>
        <v>4323.339999999967</v>
      </c>
      <c r="Q99" s="415">
        <f>O99/N99</f>
        <v>1.0487080811651883</v>
      </c>
    </row>
    <row r="100" spans="2:17" ht="15" hidden="1">
      <c r="B100" s="4" t="s">
        <v>220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60534.17000000001</v>
      </c>
      <c r="G100" s="31">
        <f>G40+G41+G43+G45+G47+G48+G49+G50+G51+G57+G61+G44</f>
        <v>1748.3100000000009</v>
      </c>
      <c r="H100" s="415">
        <f>F100/E100</f>
        <v>1.0297403151029858</v>
      </c>
      <c r="I100" s="31">
        <f>I40+I41+I43+I45+I47+I48+I49+I50+I51+I57+I61+I44</f>
        <v>-898.3099999999998</v>
      </c>
      <c r="J100" s="415">
        <f>F100/D100</f>
        <v>0.985377279250325</v>
      </c>
      <c r="K100" s="31">
        <f aca="true" t="shared" si="24" ref="K100:P100">K40+K41+K43+K45+K47+K48+K49+K50+K51+K57+K61+K44</f>
        <v>41736.590000000004</v>
      </c>
      <c r="L100" s="31">
        <f t="shared" si="24"/>
        <v>18797.579999999998</v>
      </c>
      <c r="M100" s="31">
        <f t="shared" si="24"/>
        <v>12.944314082761139</v>
      </c>
      <c r="N100" s="31">
        <f t="shared" si="24"/>
        <v>3877</v>
      </c>
      <c r="O100" s="414">
        <f t="shared" si="24"/>
        <v>6003.830000000002</v>
      </c>
      <c r="P100" s="31">
        <f t="shared" si="24"/>
        <v>2089.4100000000017</v>
      </c>
      <c r="Q100" s="415">
        <f>O100/N100</f>
        <v>1.5485762187258194</v>
      </c>
    </row>
    <row r="101" spans="2:17" ht="15" hidden="1">
      <c r="B101" s="4" t="s">
        <v>221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951700.9999999999</v>
      </c>
      <c r="G101" s="31">
        <f t="shared" si="25"/>
        <v>8071.2199999999175</v>
      </c>
      <c r="H101" s="415">
        <f>F101/E101</f>
        <v>1.0085533756681566</v>
      </c>
      <c r="I101" s="31">
        <f t="shared" si="25"/>
        <v>-67243.73000000027</v>
      </c>
      <c r="J101" s="415">
        <f>F101/D101</f>
        <v>0.9340064990571174</v>
      </c>
      <c r="K101" s="31">
        <f t="shared" si="25"/>
        <v>41736.590000000004</v>
      </c>
      <c r="L101" s="31">
        <f t="shared" si="25"/>
        <v>18797.579999999998</v>
      </c>
      <c r="M101" s="31">
        <f t="shared" si="25"/>
        <v>12.944314082761139</v>
      </c>
      <c r="N101" s="31">
        <f t="shared" si="25"/>
        <v>92637.22000000002</v>
      </c>
      <c r="O101" s="414">
        <f t="shared" si="25"/>
        <v>99087.38999999998</v>
      </c>
      <c r="P101" s="31">
        <f t="shared" si="25"/>
        <v>6412.749999999969</v>
      </c>
      <c r="Q101" s="415">
        <f>O101/N101</f>
        <v>1.0696282768416405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5.4569682106375694E-11</v>
      </c>
      <c r="H102" s="415"/>
      <c r="I102" s="31">
        <f t="shared" si="26"/>
        <v>0</v>
      </c>
      <c r="J102" s="415"/>
      <c r="K102" s="31">
        <f t="shared" si="26"/>
        <v>608843.68</v>
      </c>
      <c r="L102" s="31">
        <f t="shared" si="26"/>
        <v>282323.14999999985</v>
      </c>
      <c r="M102" s="31">
        <f t="shared" si="26"/>
        <v>-11.481464617621349</v>
      </c>
      <c r="N102" s="31">
        <f t="shared" si="26"/>
        <v>0</v>
      </c>
      <c r="O102" s="31">
        <f t="shared" si="26"/>
        <v>-37.419999999998254</v>
      </c>
      <c r="P102" s="31">
        <f t="shared" si="26"/>
        <v>0</v>
      </c>
      <c r="Q102" s="31"/>
      <c r="R102" s="31">
        <f t="shared" si="26"/>
        <v>64281.96999999999</v>
      </c>
      <c r="S102" s="31">
        <f t="shared" si="26"/>
        <v>2.8488831684307407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208</v>
      </c>
      <c r="O3" s="450" t="s">
        <v>209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210</v>
      </c>
      <c r="F4" s="433" t="s">
        <v>34</v>
      </c>
      <c r="G4" s="426" t="s">
        <v>211</v>
      </c>
      <c r="H4" s="435" t="s">
        <v>212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215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4"/>
      <c r="P90" s="424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42670</v>
      </c>
      <c r="D92" s="31">
        <v>7999.8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12068.543380000001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201</v>
      </c>
      <c r="O3" s="450" t="s">
        <v>202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198</v>
      </c>
      <c r="F4" s="433" t="s">
        <v>34</v>
      </c>
      <c r="G4" s="426" t="s">
        <v>199</v>
      </c>
      <c r="H4" s="435" t="s">
        <v>200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207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203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4"/>
      <c r="P90" s="424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42641</v>
      </c>
      <c r="D92" s="31">
        <v>6835.7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10150.57106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193</v>
      </c>
      <c r="O3" s="450" t="s">
        <v>194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190</v>
      </c>
      <c r="F4" s="433" t="s">
        <v>34</v>
      </c>
      <c r="G4" s="426" t="s">
        <v>191</v>
      </c>
      <c r="H4" s="435" t="s">
        <v>192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197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195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4"/>
      <c r="P90" s="424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42611</v>
      </c>
      <c r="D92" s="31">
        <v>8603.9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" customHeight="1">
      <c r="B94" s="422" t="s">
        <v>57</v>
      </c>
      <c r="C94" s="423"/>
      <c r="D94" s="148">
        <f>'[1]залишки  (2)'!$G$6/1000</f>
        <v>106232.76470999999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188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183</v>
      </c>
      <c r="O3" s="450" t="s">
        <v>184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179</v>
      </c>
      <c r="F4" s="433" t="s">
        <v>34</v>
      </c>
      <c r="G4" s="426" t="s">
        <v>180</v>
      </c>
      <c r="H4" s="435" t="s">
        <v>181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189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182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4"/>
      <c r="P90" s="424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42578</v>
      </c>
      <c r="D92" s="31">
        <v>8357.1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14372.98265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 hidden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3" t="s">
        <v>177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172</v>
      </c>
      <c r="N3" s="428" t="s">
        <v>173</v>
      </c>
      <c r="O3" s="428"/>
      <c r="P3" s="428"/>
      <c r="Q3" s="428"/>
      <c r="R3" s="428"/>
    </row>
    <row r="4" spans="1:18" ht="22.5" customHeight="1">
      <c r="A4" s="441"/>
      <c r="B4" s="443"/>
      <c r="C4" s="444"/>
      <c r="D4" s="445"/>
      <c r="E4" s="451" t="s">
        <v>170</v>
      </c>
      <c r="F4" s="454" t="s">
        <v>34</v>
      </c>
      <c r="G4" s="426" t="s">
        <v>171</v>
      </c>
      <c r="H4" s="435" t="s">
        <v>175</v>
      </c>
      <c r="I4" s="426" t="s">
        <v>122</v>
      </c>
      <c r="J4" s="435" t="s">
        <v>123</v>
      </c>
      <c r="K4" s="248" t="s">
        <v>65</v>
      </c>
      <c r="L4" s="283" t="s">
        <v>64</v>
      </c>
      <c r="M4" s="435"/>
      <c r="N4" s="437" t="s">
        <v>178</v>
      </c>
      <c r="O4" s="426" t="s">
        <v>50</v>
      </c>
      <c r="P4" s="428" t="s">
        <v>49</v>
      </c>
      <c r="Q4" s="284" t="s">
        <v>65</v>
      </c>
      <c r="R4" s="285" t="s">
        <v>64</v>
      </c>
    </row>
    <row r="5" spans="1:18" ht="67.5" customHeight="1">
      <c r="A5" s="442"/>
      <c r="B5" s="443"/>
      <c r="C5" s="444"/>
      <c r="D5" s="445"/>
      <c r="E5" s="452"/>
      <c r="F5" s="455"/>
      <c r="G5" s="427"/>
      <c r="H5" s="436"/>
      <c r="I5" s="427"/>
      <c r="J5" s="436"/>
      <c r="K5" s="429" t="s">
        <v>174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4"/>
      <c r="O89" s="424"/>
    </row>
    <row r="90" spans="3:15" ht="15">
      <c r="C90" s="87">
        <v>42550</v>
      </c>
      <c r="D90" s="31">
        <v>11029.3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42545</v>
      </c>
      <c r="D91" s="31">
        <v>6499.7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9447.89588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168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162</v>
      </c>
      <c r="N3" s="450" t="s">
        <v>163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158</v>
      </c>
      <c r="F4" s="456" t="s">
        <v>34</v>
      </c>
      <c r="G4" s="426" t="s">
        <v>159</v>
      </c>
      <c r="H4" s="435" t="s">
        <v>160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169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161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4"/>
      <c r="O89" s="424"/>
    </row>
    <row r="90" spans="3:15" ht="15">
      <c r="C90" s="87">
        <v>42520</v>
      </c>
      <c r="D90" s="31">
        <v>8891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42517</v>
      </c>
      <c r="D91" s="31">
        <v>7356.3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2811.04042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153</v>
      </c>
      <c r="N3" s="450" t="s">
        <v>154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150</v>
      </c>
      <c r="F4" s="456" t="s">
        <v>34</v>
      </c>
      <c r="G4" s="426" t="s">
        <v>151</v>
      </c>
      <c r="H4" s="435" t="s">
        <v>152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157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155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2"/>
      <c r="H84" s="432"/>
      <c r="I84" s="432"/>
      <c r="J84" s="43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4"/>
      <c r="O85" s="424"/>
    </row>
    <row r="86" spans="3:15" ht="15">
      <c r="C86" s="87">
        <v>42488</v>
      </c>
      <c r="D86" s="31">
        <v>11419.7</v>
      </c>
      <c r="F86" s="124" t="s">
        <v>59</v>
      </c>
      <c r="G86" s="418"/>
      <c r="H86" s="418"/>
      <c r="I86" s="131"/>
      <c r="J86" s="421"/>
      <c r="K86" s="421"/>
      <c r="L86" s="421"/>
      <c r="M86" s="421"/>
      <c r="N86" s="424"/>
      <c r="O86" s="424"/>
    </row>
    <row r="87" spans="3:15" ht="15.75" customHeight="1">
      <c r="C87" s="87">
        <v>42487</v>
      </c>
      <c r="D87" s="31">
        <v>7800.7</v>
      </c>
      <c r="F87" s="73"/>
      <c r="G87" s="418"/>
      <c r="H87" s="418"/>
      <c r="I87" s="131"/>
      <c r="J87" s="425"/>
      <c r="K87" s="425"/>
      <c r="L87" s="425"/>
      <c r="M87" s="425"/>
      <c r="N87" s="424"/>
      <c r="O87" s="424"/>
    </row>
    <row r="88" spans="3:13" ht="15.75" customHeight="1">
      <c r="C88" s="87"/>
      <c r="F88" s="73"/>
      <c r="G88" s="420"/>
      <c r="H88" s="420"/>
      <c r="I88" s="139"/>
      <c r="J88" s="421"/>
      <c r="K88" s="421"/>
      <c r="L88" s="421"/>
      <c r="M88" s="421"/>
    </row>
    <row r="89" spans="2:13" ht="18.75" customHeight="1">
      <c r="B89" s="422" t="s">
        <v>57</v>
      </c>
      <c r="C89" s="423"/>
      <c r="D89" s="148">
        <v>9087.9705</v>
      </c>
      <c r="E89" s="74"/>
      <c r="F89" s="140" t="s">
        <v>137</v>
      </c>
      <c r="G89" s="418"/>
      <c r="H89" s="418"/>
      <c r="I89" s="141"/>
      <c r="J89" s="421"/>
      <c r="K89" s="421"/>
      <c r="L89" s="421"/>
      <c r="M89" s="421"/>
    </row>
    <row r="90" spans="6:12" ht="9.75" customHeight="1">
      <c r="F90" s="73"/>
      <c r="G90" s="418"/>
      <c r="H90" s="418"/>
      <c r="I90" s="73"/>
      <c r="J90" s="74"/>
      <c r="K90" s="74"/>
      <c r="L90" s="74"/>
    </row>
    <row r="91" spans="2:12" ht="22.5" customHeight="1" hidden="1">
      <c r="B91" s="416" t="s">
        <v>60</v>
      </c>
      <c r="C91" s="417"/>
      <c r="D91" s="86">
        <v>0</v>
      </c>
      <c r="E91" s="56" t="s">
        <v>24</v>
      </c>
      <c r="F91" s="73"/>
      <c r="G91" s="418"/>
      <c r="H91" s="41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8"/>
      <c r="O92" s="418"/>
    </row>
    <row r="93" spans="4:15" ht="15">
      <c r="D93" s="83"/>
      <c r="I93" s="31"/>
      <c r="N93" s="419"/>
      <c r="O93" s="419"/>
    </row>
    <row r="94" spans="14:15" ht="15">
      <c r="N94" s="418"/>
      <c r="O94" s="41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2016-12-26T10:07:33Z</cp:lastPrinted>
  <dcterms:created xsi:type="dcterms:W3CDTF">2003-07-28T11:27:56Z</dcterms:created>
  <dcterms:modified xsi:type="dcterms:W3CDTF">2016-12-26T10:29:14Z</dcterms:modified>
  <cp:category/>
  <cp:version/>
  <cp:contentType/>
  <cp:contentStatus/>
</cp:coreProperties>
</file>